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21615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'Sheet1'!$A$2:$J$129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<sst xmlns="http://schemas.openxmlformats.org/spreadsheetml/2006/main" count="134" uniqueCount="133">
  <si>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</si>
  <si>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</si>
  <si>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TOTAL REAL PROPERTY TAXES CHARGED</t>
  </si>
  <si>
    <t>AMOUNT DELINQUENT</t>
  </si>
  <si>
    <t>DELINQUENT %</t>
  </si>
  <si>
    <t xml:space="preserve"> TOTAL TANGIBLE PROPERTY TAXES CHARGED </t>
  </si>
  <si>
    <t xml:space="preserve"> AMOUNT DELINQUENT </t>
  </si>
  <si>
    <t>TOTAL STATE PROPERTY TAXES CHARGED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</si>
  <si>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</si>
  <si>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</si>
  <si>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</si>
  <si>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</si>
  <si>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</si>
  <si>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</si>
  <si>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</si>
  <si>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</si>
  <si>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</si>
  <si>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</si>
  <si>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</si>
  <si>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</si>
  <si>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</si>
  <si>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</si>
  <si>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</si>
  <si>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</si>
  <si>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</si>
  <si>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</si>
  <si>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</si>
  <si>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</si>
  <si>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</si>
  <si>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</si>
  <si>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</si>
  <si>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</si>
  <si>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</si>
  <si>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</si>
  <si>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</si>
  <si>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</si>
  <si>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</si>
  <si>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</si>
  <si>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</si>
  <si>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</si>
  <si>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</si>
  <si>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</si>
  <si>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</si>
  <si>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</si>
  <si>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</si>
  <si>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</si>
  <si>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</si>
  <si>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</si>
  <si>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</si>
  <si>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</si>
  <si>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</si>
  <si>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</si>
  <si>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</si>
  <si>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</si>
  <si>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</si>
  <si>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</si>
  <si>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</si>
  <si>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</si>
  <si>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</si>
  <si>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</si>
  <si>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</si>
  <si>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</si>
  <si>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</si>
  <si>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</si>
  <si>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</si>
  <si>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</si>
  <si>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</si>
  <si>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</si>
  <si>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</si>
  <si>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</si>
  <si>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</si>
  <si>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</si>
  <si>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</si>
  <si>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</si>
  <si>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</si>
  <si>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</si>
  <si>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</si>
  <si>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</si>
  <si>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</si>
  <si>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</si>
  <si>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</si>
  <si>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</si>
  <si>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</si>
  <si>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</si>
  <si>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</si>
  <si>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</si>
  <si>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</si>
  <si>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</si>
  <si>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</si>
  <si>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</si>
  <si>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</si>
  <si>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</si>
  <si>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</si>
  <si>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</si>
  <si>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</si>
  <si>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</si>
  <si>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</si>
  <si>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</si>
  <si>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</si>
  <si>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</si>
  <si>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</si>
  <si>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</si>
  <si>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</si>
  <si>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</si>
  <si>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</si>
  <si>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</si>
  <si>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</si>
  <si>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</si>
  <si>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</si>
  <si>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</si>
  <si>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</si>
  <si>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</si>
  <si>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</si>
  <si>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</si>
  <si>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</si>
  <si>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</si>
  <si>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</si>
  <si>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</si>
  <si>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</si>
  <si>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</si>
  <si>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</si>
  <si>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</si>
  <si>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</si>
  <si>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</si>
  <si>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</si>
  <si>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</si>
  <si>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</si>
  <si>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</si>
  <si>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</si>
  <si>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</si>
  <si>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</si>
  <si>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</si>
  <si>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 xml:space="preserve"> SHERIFF COLLECTION-DELINQUENCY REPORT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</si>
</sst>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2" fontId="2" fillId="0" borderId="10" xfId="56" applyNumberFormat="1" applyBorder="1">
      <alignment/>
      <protection/>
    </xf>
    <xf numFmtId="164" fontId="2" fillId="0" borderId="0" xfId="44" applyNumberFormat="1" applyFont="1" applyAlignment="1">
      <alignment/>
    </xf>
    <xf numFmtId="164" fontId="2" fillId="0" borderId="10" xfId="44" applyNumberFormat="1" applyFont="1" applyBorder="1" applyAlignment="1">
      <alignment/>
    </xf>
    <xf numFmtId="164" fontId="2" fillId="0" borderId="0" xfId="56" applyNumberFormat="1">
      <alignment/>
      <protection/>
    </xf>
    <xf numFmtId="0" fontId="2" fillId="0" borderId="10" xfId="56" applyBorder="1">
      <alignment/>
      <protection/>
    </xf>
    <xf numFmtId="164" fontId="2" fillId="0" borderId="0" xfId="44" applyNumberFormat="1" applyFont="1" applyAlignment="1" applyProtection="1">
      <alignment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/>
    </xf>
    <xf numFmtId="0" fontId="3" fillId="0" borderId="0" xfId="56" applyFont="1" applyAlignment="1">
      <alignment horizontal="center"/>
      <protection/>
    </xf>
    <xf numFmtId="164" fontId="3" fillId="0" borderId="0" xfId="44" applyNumberFormat="1" applyFont="1" applyAlignment="1">
      <alignment/>
    </xf>
    <xf numFmtId="0" fontId="2" fillId="0" borderId="0" xfId="56" applyFont="1">
      <alignment/>
      <protection/>
    </xf>
    <xf numFmtId="164" fontId="2" fillId="0" borderId="0" xfId="44" applyNumberFormat="1" applyFont="1" applyAlignment="1">
      <alignment/>
    </xf>
    <xf numFmtId="3" fontId="2" fillId="0" borderId="0" xfId="56" applyNumberFormat="1" applyFont="1" applyProtection="1">
      <alignment/>
      <protection/>
    </xf>
    <xf numFmtId="165" fontId="3" fillId="0" borderId="0" xfId="56" applyNumberFormat="1" applyFont="1" applyAlignment="1">
      <alignment horizontal="left"/>
      <protection/>
    </xf>
    <xf numFmtId="2" fontId="2" fillId="0" borderId="0" xfId="56" applyNumberFormat="1" applyAlignment="1">
      <alignment horizontal="center"/>
      <protection/>
    </xf>
    <xf numFmtId="2" fontId="2" fillId="0" borderId="10" xfId="56" applyNumberFormat="1" applyBorder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37" fontId="2" fillId="0" borderId="0" xfId="56" applyNumberFormat="1">
      <alignment/>
      <protection/>
    </xf>
    <xf numFmtId="38" fontId="2" fillId="0" borderId="0" xfId="56" applyNumberFormat="1" applyAlignment="1">
      <alignment horizontal="right"/>
      <protection/>
    </xf>
    <xf numFmtId="0" fontId="3" fillId="0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02" sqref="B102"/>
    </sheetView>
  </sheetViews>
  <sheetFormatPr defaultColWidth="9.140625" defaultRowHeight="15"/>
  <cols>
    <col min="1" max="1" width="14.421875" style="0" customWidth="1"/>
    <col min="2" max="2" width="13.57421875" style="0" customWidth="1"/>
    <col min="3" max="4" width="13.7109375" style="0" customWidth="1"/>
    <col min="5" max="6" width="13.57421875" style="0" customWidth="1"/>
    <col min="7" max="7" width="13.140625" style="0" customWidth="1"/>
    <col min="8" max="8" width="13.7109375" style="0" customWidth="1"/>
    <col min="9" max="9" width="12.7109375" style="0" customWidth="1"/>
    <col min="10" max="10" width="13.57421875" style="0" customWidth="1"/>
  </cols>
  <sheetData>
    <row r="1" spans="1:10" ht="64.5">
      <c r="A1" s="9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4</v>
      </c>
      <c r="H1" s="10" t="s">
        <v>7</v>
      </c>
      <c r="I1" s="10" t="s">
        <v>8</v>
      </c>
      <c r="J1" s="11" t="s">
        <v>9</v>
      </c>
    </row>
    <row r="2" spans="1:11" ht="15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1">
        <v>1</v>
      </c>
    </row>
    <row r="3" spans="1:11" ht="1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5">
      <c r="A5" s="1"/>
      <c r="B5" s="1"/>
      <c r="C5" s="1"/>
      <c r="D5" s="1"/>
      <c r="E5" s="1"/>
      <c r="F5" s="2"/>
      <c r="G5" s="2"/>
      <c r="H5" s="1"/>
      <c r="I5" s="1"/>
      <c r="J5" s="1"/>
      <c r="K5" s="1"/>
    </row>
    <row r="6" spans="1:11" ht="15">
      <c r="A6" s="2" t="s">
        <v>10</v>
      </c>
      <c r="B6" s="4">
        <f>670829.87+3482.08+91.5-6211.87</f>
        <v>668191.58</v>
      </c>
      <c r="C6" s="4">
        <f>10226.33</f>
        <v>10226.33</v>
      </c>
      <c r="D6" s="18">
        <f>C6/B6*100</f>
        <v>1.5304487973344412</v>
      </c>
      <c r="E6" s="4">
        <f>75393.85+22278.4+16649.79+160.96+6.38+9.18+610.02+16.13-150.55-50.89</f>
        <v>114923.27000000002</v>
      </c>
      <c r="F6" s="4">
        <f>797.43+980.15+72.35</f>
        <v>1849.9299999999998</v>
      </c>
      <c r="G6" s="18">
        <f>F6/E6*100</f>
        <v>1.6097088083205424</v>
      </c>
      <c r="H6" s="6">
        <f>B6+E6</f>
        <v>783114.85</v>
      </c>
      <c r="I6" s="6">
        <f>C6+F6</f>
        <v>12076.26</v>
      </c>
      <c r="J6" s="18">
        <f>I6/H6*100</f>
        <v>1.5420803219348989</v>
      </c>
      <c r="K6" s="1"/>
    </row>
    <row r="7" spans="1:11" ht="15">
      <c r="A7" s="23" t="s">
        <v>11</v>
      </c>
      <c r="B7" s="4">
        <f>867083.93+472.5+1052.61+626.22-2785.26</f>
        <v>866450</v>
      </c>
      <c r="C7" s="4">
        <v>20164.84</v>
      </c>
      <c r="D7" s="18">
        <f aca="true" t="shared" si="0" ref="D7:D70">C7/B7*100</f>
        <v>2.327294131225114</v>
      </c>
      <c r="E7" s="4">
        <f>117972.74+190137.45+26126.25+14.89+0.15+139.9-2.39-84.34</f>
        <v>334304.65</v>
      </c>
      <c r="F7" s="4">
        <f>607.36+37.15</f>
        <v>644.51</v>
      </c>
      <c r="G7" s="18">
        <f aca="true" t="shared" si="1" ref="G7:G70">F7/E7*100</f>
        <v>0.19279121603603178</v>
      </c>
      <c r="H7" s="6">
        <f aca="true" t="shared" si="2" ref="H7:H70">B7+E7</f>
        <v>1200754.65</v>
      </c>
      <c r="I7" s="6">
        <f aca="true" t="shared" si="3" ref="I7:I70">C7+F7</f>
        <v>20809.35</v>
      </c>
      <c r="J7" s="18">
        <f aca="true" t="shared" si="4" ref="J7:J70">I7/H7*100</f>
        <v>1.7330226453838842</v>
      </c>
      <c r="K7" s="1"/>
    </row>
    <row r="8" spans="1:11" ht="15">
      <c r="A8" s="2" t="s">
        <v>12</v>
      </c>
      <c r="B8" s="4">
        <f>1577781.01+104.37+48.8-3105.75</f>
        <v>1574828.4300000002</v>
      </c>
      <c r="C8" s="4">
        <f>14169.26</f>
        <v>14169.26</v>
      </c>
      <c r="D8" s="18">
        <f t="shared" si="0"/>
        <v>0.8997335665320696</v>
      </c>
      <c r="E8" s="4">
        <f>131512.66+171890.6+37059.8+1217.06+0.75+373.45</f>
        <v>342054.32</v>
      </c>
      <c r="F8" s="15">
        <f>924.94+7.29</f>
        <v>932.23</v>
      </c>
      <c r="G8" s="18">
        <f t="shared" si="1"/>
        <v>0.2725385839301781</v>
      </c>
      <c r="H8" s="6">
        <f t="shared" si="2"/>
        <v>1916882.7500000002</v>
      </c>
      <c r="I8" s="6">
        <f t="shared" si="3"/>
        <v>15101.49</v>
      </c>
      <c r="J8" s="18">
        <f t="shared" si="4"/>
        <v>0.7878150085079537</v>
      </c>
      <c r="K8" s="1"/>
    </row>
    <row r="9" spans="1:11" ht="15">
      <c r="A9" s="23" t="s">
        <v>13</v>
      </c>
      <c r="B9" s="4">
        <f>491638.37+5.24+17.69-1601.49</f>
        <v>490059.81</v>
      </c>
      <c r="C9" s="4">
        <v>8799.17</v>
      </c>
      <c r="D9" s="18">
        <f t="shared" si="0"/>
        <v>1.7955298150240069</v>
      </c>
      <c r="E9" s="4">
        <f>203327.83+215632.49+9018.36+2212.13+8.64+1.58+1049.34+76.19-3282.04-1220.91</f>
        <v>426823.61000000004</v>
      </c>
      <c r="F9" s="4">
        <f>603.9</f>
        <v>603.9</v>
      </c>
      <c r="G9" s="18">
        <f t="shared" si="1"/>
        <v>0.14148701848990966</v>
      </c>
      <c r="H9" s="6">
        <f t="shared" si="2"/>
        <v>916883.42</v>
      </c>
      <c r="I9" s="6">
        <f t="shared" si="3"/>
        <v>9403.07</v>
      </c>
      <c r="J9" s="18">
        <f t="shared" si="4"/>
        <v>1.0255469555769696</v>
      </c>
      <c r="K9" s="1"/>
    </row>
    <row r="10" spans="1:11" ht="15">
      <c r="A10" s="2" t="s">
        <v>14</v>
      </c>
      <c r="B10" s="4">
        <f>2277103.49+584.96+128.83+1354.05+295.37-6759.3</f>
        <v>2272707.4000000004</v>
      </c>
      <c r="C10" s="4">
        <v>26599.03</v>
      </c>
      <c r="D10" s="18">
        <f t="shared" si="0"/>
        <v>1.1703675536938893</v>
      </c>
      <c r="E10" s="4">
        <f>530795.62+490481.25+79141.82+960.7+17.2+10.85+4.39-2999.81-3062.27-1489.18</f>
        <v>1093860.5699999998</v>
      </c>
      <c r="F10" s="4">
        <f>2344.05+510.54</f>
        <v>2854.59</v>
      </c>
      <c r="G10" s="18">
        <f t="shared" si="1"/>
        <v>0.2609647041212941</v>
      </c>
      <c r="H10" s="6">
        <f t="shared" si="2"/>
        <v>3366567.97</v>
      </c>
      <c r="I10" s="6">
        <f t="shared" si="3"/>
        <v>29453.62</v>
      </c>
      <c r="J10" s="18">
        <f t="shared" si="4"/>
        <v>0.8748856480090612</v>
      </c>
      <c r="K10" s="1"/>
    </row>
    <row r="11" spans="1:11" ht="15">
      <c r="A11" s="2" t="s">
        <v>15</v>
      </c>
      <c r="B11" s="4">
        <f>361516.62+114.19-3390.84</f>
        <v>358239.97</v>
      </c>
      <c r="C11" s="4">
        <v>7407.17</v>
      </c>
      <c r="D11" s="18">
        <f t="shared" si="0"/>
        <v>2.067655934651848</v>
      </c>
      <c r="E11" s="4">
        <f>129764.18+4066.13+6452.97+292.43+4.27</f>
        <v>140579.97999999998</v>
      </c>
      <c r="F11" s="4">
        <v>180.5</v>
      </c>
      <c r="G11" s="18">
        <f t="shared" si="1"/>
        <v>0.1283966607478533</v>
      </c>
      <c r="H11" s="6">
        <f t="shared" si="2"/>
        <v>498819.94999999995</v>
      </c>
      <c r="I11" s="6">
        <f t="shared" si="3"/>
        <v>7587.67</v>
      </c>
      <c r="J11" s="18">
        <f t="shared" si="4"/>
        <v>1.521124004763643</v>
      </c>
      <c r="K11" s="1"/>
    </row>
    <row r="12" spans="1:11" ht="15">
      <c r="A12" s="23" t="s">
        <v>16</v>
      </c>
      <c r="B12" s="4">
        <f>796358.77+32591.36-6491.01</f>
        <v>822459.12</v>
      </c>
      <c r="C12" s="4">
        <v>41760.74</v>
      </c>
      <c r="D12" s="18">
        <f t="shared" si="0"/>
        <v>5.077545981859864</v>
      </c>
      <c r="E12" s="4">
        <f>240524.25+64743.18+23606.27+51.77+0.38</f>
        <v>328925.85000000003</v>
      </c>
      <c r="F12" s="4">
        <f>15759.31+14591.55+119.59</f>
        <v>30470.45</v>
      </c>
      <c r="G12" s="18">
        <f t="shared" si="1"/>
        <v>9.263622789148373</v>
      </c>
      <c r="H12" s="6">
        <f t="shared" si="2"/>
        <v>1151384.97</v>
      </c>
      <c r="I12" s="6">
        <f t="shared" si="3"/>
        <v>72231.19</v>
      </c>
      <c r="J12" s="18">
        <f t="shared" si="4"/>
        <v>6.273417830006936</v>
      </c>
      <c r="K12" s="1"/>
    </row>
    <row r="13" spans="1:11" ht="15">
      <c r="A13" s="23" t="s">
        <v>17</v>
      </c>
      <c r="B13" s="4">
        <f>13024761.22+3645.97+300.85+27759.58-13890.09</f>
        <v>13042577.530000001</v>
      </c>
      <c r="C13" s="4">
        <v>65435.59</v>
      </c>
      <c r="D13" s="18">
        <f t="shared" si="0"/>
        <v>0.5017075025966895</v>
      </c>
      <c r="E13" s="4">
        <f>4336060.04+1652962.56+599086.61+3650.43+7820.94+5883.53+4178.96+1500+46884.71+2479.26+13452+4.28-20623.18-946.04-20495.98-167.13</f>
        <v>6631730.99</v>
      </c>
      <c r="F13" s="4">
        <f>58045.86+1079.61+805.16</f>
        <v>59930.630000000005</v>
      </c>
      <c r="G13" s="18">
        <f t="shared" si="1"/>
        <v>0.9036951301307232</v>
      </c>
      <c r="H13" s="6">
        <f t="shared" si="2"/>
        <v>19674308.520000003</v>
      </c>
      <c r="I13" s="6">
        <f t="shared" si="3"/>
        <v>125366.22</v>
      </c>
      <c r="J13" s="18">
        <f t="shared" si="4"/>
        <v>0.6372077568701254</v>
      </c>
      <c r="K13" s="1"/>
    </row>
    <row r="14" spans="1:11" ht="15">
      <c r="A14" s="2" t="s">
        <v>18</v>
      </c>
      <c r="B14" s="15">
        <f>1314826.57+557.96+4032.96-4383.4+374.25</f>
        <v>1315408.34</v>
      </c>
      <c r="C14" s="4">
        <v>24238.32</v>
      </c>
      <c r="D14" s="18">
        <f t="shared" si="0"/>
        <v>1.8426460638070759</v>
      </c>
      <c r="E14" s="15">
        <f>239922.62+225042.1+47389.31+361.8+1231.9-23.14-52.9-374.25</f>
        <v>513497.43999999994</v>
      </c>
      <c r="F14" s="15">
        <f>1377.03+93.77+5.24</f>
        <v>1476.04</v>
      </c>
      <c r="G14" s="18">
        <f t="shared" si="1"/>
        <v>0.2874483658574812</v>
      </c>
      <c r="H14" s="6">
        <f t="shared" si="2"/>
        <v>1828905.78</v>
      </c>
      <c r="I14" s="6">
        <f t="shared" si="3"/>
        <v>25714.36</v>
      </c>
      <c r="J14" s="18">
        <f t="shared" si="4"/>
        <v>1.4059969781494157</v>
      </c>
      <c r="K14" s="14"/>
    </row>
    <row r="15" spans="1:11" ht="15">
      <c r="A15" s="2" t="s">
        <v>19</v>
      </c>
      <c r="B15" s="15">
        <f>2322196.69+2286.12+24.4-7995.27+150</f>
        <v>2316661.94</v>
      </c>
      <c r="C15" s="15">
        <v>103100.51</v>
      </c>
      <c r="D15" s="18">
        <f t="shared" si="0"/>
        <v>4.450390806696639</v>
      </c>
      <c r="E15" s="15">
        <f>705012.55+498958.9+152376.89+1.43+11575.72+3984.52+651.34-183.1-1.25</f>
        <v>1372377.0000000002</v>
      </c>
      <c r="F15" s="15">
        <f>19781.15+26199.9+19301.6</f>
        <v>65282.65</v>
      </c>
      <c r="G15" s="18">
        <f t="shared" si="1"/>
        <v>4.756903533067079</v>
      </c>
      <c r="H15" s="6">
        <f t="shared" si="2"/>
        <v>3689038.9400000004</v>
      </c>
      <c r="I15" s="6">
        <f t="shared" si="3"/>
        <v>168383.16</v>
      </c>
      <c r="J15" s="18">
        <f t="shared" si="4"/>
        <v>4.564418070360623</v>
      </c>
      <c r="K15" s="1"/>
    </row>
    <row r="16" spans="1:11" ht="15">
      <c r="A16" s="2" t="s">
        <v>20</v>
      </c>
      <c r="B16" s="4">
        <f>1922523.56+90.04+234.13+245.22-4950.88</f>
        <v>1918142.07</v>
      </c>
      <c r="C16" s="4">
        <v>16269.43</v>
      </c>
      <c r="D16" s="18">
        <f t="shared" si="0"/>
        <v>0.8481869124532575</v>
      </c>
      <c r="E16" s="4">
        <f>411645.82+326467.13+105849.02+1655.62+2.28+0.81+2.83-264.33</f>
        <v>845359.18</v>
      </c>
      <c r="F16" s="4">
        <f>2435.18+42.22+144.71</f>
        <v>2622.1099999999997</v>
      </c>
      <c r="G16" s="18">
        <f t="shared" si="1"/>
        <v>0.31017703031272453</v>
      </c>
      <c r="H16" s="6">
        <f t="shared" si="2"/>
        <v>2763501.25</v>
      </c>
      <c r="I16" s="6">
        <f t="shared" si="3"/>
        <v>18891.54</v>
      </c>
      <c r="J16" s="18">
        <f t="shared" si="4"/>
        <v>0.6836088820296354</v>
      </c>
      <c r="K16" s="1"/>
    </row>
    <row r="17" spans="1:10" ht="15">
      <c r="A17" s="2" t="s">
        <v>21</v>
      </c>
      <c r="B17" s="4">
        <f>327299.92-384.18</f>
        <v>326915.74</v>
      </c>
      <c r="C17" s="4">
        <f>3598.51</f>
        <v>3598.51</v>
      </c>
      <c r="D17" s="18">
        <f t="shared" si="0"/>
        <v>1.1007454091993245</v>
      </c>
      <c r="E17" s="4">
        <f>24114.07+53328.96+7679.24+2.55+236.02</f>
        <v>85360.84000000001</v>
      </c>
      <c r="F17" s="4">
        <f>252.41+1.25+239.55+13.46</f>
        <v>506.67</v>
      </c>
      <c r="G17" s="18">
        <f t="shared" si="1"/>
        <v>0.5935625750636943</v>
      </c>
      <c r="H17" s="6">
        <f t="shared" si="2"/>
        <v>412276.58</v>
      </c>
      <c r="I17" s="6">
        <f t="shared" si="3"/>
        <v>4105.18</v>
      </c>
      <c r="J17" s="18">
        <f t="shared" si="4"/>
        <v>0.9957344654406515</v>
      </c>
    </row>
    <row r="18" spans="1:10" ht="15">
      <c r="A18" s="23" t="s">
        <v>22</v>
      </c>
      <c r="B18" s="4">
        <f>357523.74+10.49+4399.74+4499.61-3509.48</f>
        <v>362924.1</v>
      </c>
      <c r="C18" s="4">
        <v>53447.26</v>
      </c>
      <c r="D18" s="18">
        <f t="shared" si="0"/>
        <v>14.726842334251158</v>
      </c>
      <c r="E18" s="4">
        <f>101430.02+15502.55+10752.05+0.01-21.32</f>
        <v>127663.31</v>
      </c>
      <c r="F18" s="4">
        <f>26447.86+14219.17+2009.06</f>
        <v>42676.09</v>
      </c>
      <c r="G18" s="18">
        <f t="shared" si="1"/>
        <v>33.42862565603226</v>
      </c>
      <c r="H18" s="6">
        <f t="shared" si="2"/>
        <v>490587.41</v>
      </c>
      <c r="I18" s="6">
        <f t="shared" si="3"/>
        <v>96123.35</v>
      </c>
      <c r="J18" s="18">
        <f t="shared" si="4"/>
        <v>19.593521570396604</v>
      </c>
    </row>
    <row r="19" spans="1:10" ht="15">
      <c r="A19" s="2" t="s">
        <v>23</v>
      </c>
      <c r="B19" s="4">
        <f>1046304.2+11.59+6891.37+30.5-1399.95</f>
        <v>1051837.71</v>
      </c>
      <c r="C19" s="4">
        <f>14808.45+333.69</f>
        <v>15142.140000000001</v>
      </c>
      <c r="D19" s="18">
        <f t="shared" si="0"/>
        <v>1.4395890027559481</v>
      </c>
      <c r="E19" s="4">
        <f>96464.3+21261.24+17941.87+201.45+4.58+254.33+377.28+164.26-49.74</f>
        <v>136619.57</v>
      </c>
      <c r="F19" s="4">
        <f>1216.22+721.79</f>
        <v>1938.01</v>
      </c>
      <c r="G19" s="18">
        <f t="shared" si="1"/>
        <v>1.4185449419874474</v>
      </c>
      <c r="H19" s="6">
        <f t="shared" si="2"/>
        <v>1188457.28</v>
      </c>
      <c r="I19" s="6">
        <f t="shared" si="3"/>
        <v>17080.15</v>
      </c>
      <c r="J19" s="18">
        <f t="shared" si="4"/>
        <v>1.4371698745452592</v>
      </c>
    </row>
    <row r="20" spans="1:10" ht="15">
      <c r="A20" s="23" t="s">
        <v>24</v>
      </c>
      <c r="B20" s="4">
        <v>5933950</v>
      </c>
      <c r="C20" s="4">
        <v>48885</v>
      </c>
      <c r="D20" s="18">
        <f t="shared" si="0"/>
        <v>0.8238188727576066</v>
      </c>
      <c r="E20" s="15">
        <v>1967615</v>
      </c>
      <c r="F20" s="4">
        <v>18594</v>
      </c>
      <c r="G20" s="18">
        <f t="shared" si="1"/>
        <v>0.9450019439778615</v>
      </c>
      <c r="H20" s="6">
        <f t="shared" si="2"/>
        <v>7901565</v>
      </c>
      <c r="I20" s="6">
        <f t="shared" si="3"/>
        <v>67479</v>
      </c>
      <c r="J20" s="18">
        <f t="shared" si="4"/>
        <v>0.85399537939636</v>
      </c>
    </row>
    <row r="21" spans="1:10" ht="15">
      <c r="A21" s="2" t="s">
        <v>25</v>
      </c>
      <c r="B21" s="4">
        <f>448221.92+812.91+26.84-791.29</f>
        <v>448270.38</v>
      </c>
      <c r="C21" s="4">
        <v>11677.95</v>
      </c>
      <c r="D21" s="18">
        <f t="shared" si="0"/>
        <v>2.605113012374362</v>
      </c>
      <c r="E21" s="4">
        <f>66702.02+58822.27+10565.96+2.41+564.18-406.64</f>
        <v>136250.19999999998</v>
      </c>
      <c r="F21" s="4">
        <f>296.83+111.72</f>
        <v>408.54999999999995</v>
      </c>
      <c r="G21" s="18">
        <f t="shared" si="1"/>
        <v>0.299852770858318</v>
      </c>
      <c r="H21" s="6">
        <f t="shared" si="2"/>
        <v>584520.58</v>
      </c>
      <c r="I21" s="6">
        <f t="shared" si="3"/>
        <v>12086.5</v>
      </c>
      <c r="J21" s="18">
        <f t="shared" si="4"/>
        <v>2.0677629519905016</v>
      </c>
    </row>
    <row r="22" spans="1:10" ht="15">
      <c r="A22" s="2" t="s">
        <v>26</v>
      </c>
      <c r="B22" s="4">
        <f>516984.86+1516.82+134.76+3203.59-2806.52</f>
        <v>519033.51</v>
      </c>
      <c r="C22" s="4">
        <v>8416.43</v>
      </c>
      <c r="D22" s="18">
        <f t="shared" si="0"/>
        <v>1.6215581148122789</v>
      </c>
      <c r="E22" s="4">
        <f>118173.81+179398.85+27487.67+694.08+11.61+63</f>
        <v>325829.02</v>
      </c>
      <c r="F22" s="4">
        <f>2016.37+2.15</f>
        <v>2018.52</v>
      </c>
      <c r="G22" s="18">
        <f t="shared" si="1"/>
        <v>0.6195028300425788</v>
      </c>
      <c r="H22" s="6">
        <f t="shared" si="2"/>
        <v>844862.53</v>
      </c>
      <c r="I22" s="6">
        <f t="shared" si="3"/>
        <v>10434.95</v>
      </c>
      <c r="J22" s="18">
        <f t="shared" si="4"/>
        <v>1.2351062604232195</v>
      </c>
    </row>
    <row r="23" spans="1:10" ht="15">
      <c r="A23" s="2" t="s">
        <v>27</v>
      </c>
      <c r="B23" s="4">
        <f>2313121.09+242.29+263.47+725.16-7400.58</f>
        <v>2306951.43</v>
      </c>
      <c r="C23" s="4">
        <v>30492.69</v>
      </c>
      <c r="D23" s="18">
        <f t="shared" si="0"/>
        <v>1.3217742516581719</v>
      </c>
      <c r="E23" s="4">
        <f>317328+218267.59+73683.76+460.11+63.25+442.75+11530.17+49280.88+4299.17-13242.07-49280.88-10214.03</f>
        <v>602618.7000000001</v>
      </c>
      <c r="F23" s="4">
        <f>4562.76+349.08</f>
        <v>4911.84</v>
      </c>
      <c r="G23" s="18">
        <f t="shared" si="1"/>
        <v>0.8150825721140084</v>
      </c>
      <c r="H23" s="6">
        <f t="shared" si="2"/>
        <v>2909570.1300000004</v>
      </c>
      <c r="I23" s="6">
        <f t="shared" si="3"/>
        <v>35404.53</v>
      </c>
      <c r="J23" s="18">
        <f t="shared" si="4"/>
        <v>1.2168302676381957</v>
      </c>
    </row>
    <row r="24" spans="1:10" ht="15">
      <c r="A24" s="2" t="s">
        <v>28</v>
      </c>
      <c r="B24" s="15">
        <f>6627010.69+1479.62+2922.58-16072.73</f>
        <v>6615340.16</v>
      </c>
      <c r="C24" s="15">
        <v>63764.58</v>
      </c>
      <c r="D24" s="18">
        <f t="shared" si="0"/>
        <v>0.9638896633850496</v>
      </c>
      <c r="E24" s="15">
        <f>765288.06+361673.78+91354.67+183.7+5.85+5.56+223.03+1576.14+173.4-1945.59-313.31-157.78</f>
        <v>1218067.5099999998</v>
      </c>
      <c r="F24" s="15">
        <f>8115.3+2.22+406.45+0.07</f>
        <v>8524.04</v>
      </c>
      <c r="G24" s="18">
        <f t="shared" si="1"/>
        <v>0.6998002926783592</v>
      </c>
      <c r="H24" s="6">
        <f t="shared" si="2"/>
        <v>7833407.67</v>
      </c>
      <c r="I24" s="6">
        <f t="shared" si="3"/>
        <v>72288.62</v>
      </c>
      <c r="J24" s="18">
        <f t="shared" si="4"/>
        <v>0.9228246893985539</v>
      </c>
    </row>
    <row r="25" spans="1:10" ht="15">
      <c r="A25" s="23" t="s">
        <v>29</v>
      </c>
      <c r="B25" s="4">
        <f>219053.56+73.81+17.23-2072.07</f>
        <v>217072.53</v>
      </c>
      <c r="C25" s="4">
        <v>2077.77</v>
      </c>
      <c r="D25" s="18">
        <f t="shared" si="0"/>
        <v>0.9571777691078646</v>
      </c>
      <c r="E25" s="4">
        <f>44671.67+857.25+1694.94+15.68+1.12+6.77-108.72</f>
        <v>47138.71</v>
      </c>
      <c r="F25" s="4">
        <v>271.34</v>
      </c>
      <c r="G25" s="18">
        <f t="shared" si="1"/>
        <v>0.5756203341160587</v>
      </c>
      <c r="H25" s="6">
        <f t="shared" si="2"/>
        <v>264211.24</v>
      </c>
      <c r="I25" s="6">
        <f t="shared" si="3"/>
        <v>2349.11</v>
      </c>
      <c r="J25" s="18">
        <f t="shared" si="4"/>
        <v>0.8891029768453456</v>
      </c>
    </row>
    <row r="26" spans="1:10" ht="15">
      <c r="A26" s="23" t="s">
        <v>30</v>
      </c>
      <c r="B26" s="15">
        <v>617756</v>
      </c>
      <c r="C26" s="15">
        <v>20238</v>
      </c>
      <c r="D26" s="18">
        <f>C26/B26*100</f>
        <v>3.27605073847927</v>
      </c>
      <c r="E26" s="15">
        <v>417464</v>
      </c>
      <c r="F26" s="15">
        <v>4562</v>
      </c>
      <c r="G26" s="18">
        <f t="shared" si="1"/>
        <v>1.0927888392771592</v>
      </c>
      <c r="H26" s="6">
        <f t="shared" si="2"/>
        <v>1035220</v>
      </c>
      <c r="I26" s="6">
        <f t="shared" si="3"/>
        <v>24800</v>
      </c>
      <c r="J26" s="18">
        <f t="shared" si="4"/>
        <v>2.3956260505013427</v>
      </c>
    </row>
    <row r="27" spans="1:10" ht="15">
      <c r="A27" s="23" t="s">
        <v>31</v>
      </c>
      <c r="B27" s="15">
        <f>839233.54+275.6+2643.27+579.84-8994.45</f>
        <v>833737.8</v>
      </c>
      <c r="C27" s="15">
        <v>30271.42</v>
      </c>
      <c r="D27" s="18">
        <f t="shared" si="0"/>
        <v>3.630808150955852</v>
      </c>
      <c r="E27" s="15">
        <f>111532.4+41701.47+18009.36+55.91+0.3+841.86+101.6+372.77-248.21</f>
        <v>172367.45999999996</v>
      </c>
      <c r="F27" s="15">
        <f>851.57+39.33+944.4</f>
        <v>1835.3000000000002</v>
      </c>
      <c r="G27" s="18">
        <f t="shared" si="1"/>
        <v>1.0647601351206315</v>
      </c>
      <c r="H27" s="6">
        <f t="shared" si="2"/>
        <v>1006105.26</v>
      </c>
      <c r="I27" s="6">
        <f t="shared" si="3"/>
        <v>32106.719999999998</v>
      </c>
      <c r="J27" s="18">
        <f t="shared" si="4"/>
        <v>3.191188961679815</v>
      </c>
    </row>
    <row r="28" spans="1:10" ht="15">
      <c r="A28" s="2" t="s">
        <v>32</v>
      </c>
      <c r="B28" s="4">
        <f>561755.21+119.65+62.22-2751.83</f>
        <v>559185.25</v>
      </c>
      <c r="C28" s="4">
        <v>8690.91</v>
      </c>
      <c r="D28" s="18">
        <f t="shared" si="0"/>
        <v>1.554209450267152</v>
      </c>
      <c r="E28" s="4">
        <f>48183.39+26785.88+11879.001+141.21-6.2</f>
        <v>86983.28100000002</v>
      </c>
      <c r="F28" s="4">
        <v>1093.04</v>
      </c>
      <c r="G28" s="18">
        <f t="shared" si="1"/>
        <v>1.256609301734663</v>
      </c>
      <c r="H28" s="6">
        <f t="shared" si="2"/>
        <v>646168.531</v>
      </c>
      <c r="I28" s="6">
        <f t="shared" si="3"/>
        <v>9783.95</v>
      </c>
      <c r="J28" s="18">
        <f t="shared" si="4"/>
        <v>1.5141483267311886</v>
      </c>
    </row>
    <row r="29" spans="1:10" ht="15">
      <c r="A29" s="2" t="s">
        <v>33</v>
      </c>
      <c r="B29" s="4">
        <f>3615227.13+4560.88+256.93+3416.41+440.91-5913.55</f>
        <v>3617988.7100000004</v>
      </c>
      <c r="C29" s="4">
        <v>53321.43</v>
      </c>
      <c r="D29" s="18">
        <f t="shared" si="0"/>
        <v>1.4737865226782312</v>
      </c>
      <c r="E29" s="4">
        <f>886844.33+859030.91+169759.95+40675.38+75.61+76.5+130.94+62.03-79.56-350</f>
        <v>1956226.0899999999</v>
      </c>
      <c r="F29" s="4">
        <f>4074.93+184.53+699.84</f>
        <v>4959.3</v>
      </c>
      <c r="G29" s="18">
        <f t="shared" si="1"/>
        <v>0.253513641667053</v>
      </c>
      <c r="H29" s="6">
        <f t="shared" si="2"/>
        <v>5574214.800000001</v>
      </c>
      <c r="I29" s="6">
        <f t="shared" si="3"/>
        <v>58280.73</v>
      </c>
      <c r="J29" s="18">
        <f t="shared" si="4"/>
        <v>1.0455415173451872</v>
      </c>
    </row>
    <row r="30" spans="1:10" ht="15">
      <c r="A30" s="2" t="s">
        <v>34</v>
      </c>
      <c r="B30" s="4">
        <f>2730206.28+484.22+210-4772.4</f>
        <v>2726128.1</v>
      </c>
      <c r="C30" s="4">
        <v>34841.49</v>
      </c>
      <c r="D30" s="18">
        <f t="shared" si="0"/>
        <v>1.2780576965550516</v>
      </c>
      <c r="E30" s="4">
        <f>424883.97+448584.12+118914.31+1024.39+23.75+3698+582.24+160.82+105.47-10553.29-28654.49-819.26-7.15</f>
        <v>957942.8799999998</v>
      </c>
      <c r="F30" s="4">
        <f>883.15-54.82-131.56</f>
        <v>696.77</v>
      </c>
      <c r="G30" s="18">
        <f t="shared" si="1"/>
        <v>0.07273606960782465</v>
      </c>
      <c r="H30" s="6">
        <f t="shared" si="2"/>
        <v>3684070.98</v>
      </c>
      <c r="I30" s="6">
        <f t="shared" si="3"/>
        <v>35538.259999999995</v>
      </c>
      <c r="J30" s="18">
        <f t="shared" si="4"/>
        <v>0.9646464520615723</v>
      </c>
    </row>
    <row r="31" spans="1:10" ht="15">
      <c r="A31" s="2" t="s">
        <v>35</v>
      </c>
      <c r="B31" s="4">
        <v>415176</v>
      </c>
      <c r="C31" s="4">
        <v>31742.7</v>
      </c>
      <c r="D31" s="18">
        <f t="shared" si="0"/>
        <v>7.64560090178623</v>
      </c>
      <c r="E31" s="4">
        <f>75090.41+12499.62+7496.93+3.88+491.14+8.32-491.13-8.32</f>
        <v>95090.84999999999</v>
      </c>
      <c r="F31" s="4">
        <f>5935.47+9561.34+891.06+0.39</f>
        <v>16388.260000000002</v>
      </c>
      <c r="G31" s="18">
        <f t="shared" si="1"/>
        <v>17.234318549050727</v>
      </c>
      <c r="H31" s="6">
        <f t="shared" si="2"/>
        <v>510266.85</v>
      </c>
      <c r="I31" s="6">
        <f t="shared" si="3"/>
        <v>48130.96000000001</v>
      </c>
      <c r="J31" s="18">
        <f t="shared" si="4"/>
        <v>9.432507716305695</v>
      </c>
    </row>
    <row r="32" spans="1:10" ht="15">
      <c r="A32" s="2" t="s">
        <v>36</v>
      </c>
      <c r="B32" s="6">
        <f>456389.28+3335.66+36.6-529.48</f>
        <v>459232.06</v>
      </c>
      <c r="C32" s="4">
        <v>19084.14</v>
      </c>
      <c r="D32" s="18">
        <f t="shared" si="0"/>
        <v>4.1556636964762435</v>
      </c>
      <c r="E32" s="4">
        <f>59386.88+56661.94+6011.64+1150.36+21</f>
        <v>123231.82</v>
      </c>
      <c r="F32" s="4">
        <f>381.04+17.34+44.81</f>
        <v>443.19</v>
      </c>
      <c r="G32" s="18">
        <f t="shared" si="1"/>
        <v>0.35963925551046794</v>
      </c>
      <c r="H32" s="6">
        <f t="shared" si="2"/>
        <v>582463.88</v>
      </c>
      <c r="I32" s="6">
        <f t="shared" si="3"/>
        <v>19527.329999999998</v>
      </c>
      <c r="J32" s="18">
        <f t="shared" si="4"/>
        <v>3.352539216680697</v>
      </c>
    </row>
    <row r="33" spans="1:10" ht="15">
      <c r="A33" s="2" t="s">
        <v>37</v>
      </c>
      <c r="B33" s="4">
        <f>413869.55+632.22+1368.28-3130.81</f>
        <v>412739.24</v>
      </c>
      <c r="C33" s="4">
        <v>5804.52</v>
      </c>
      <c r="D33" s="18">
        <f t="shared" si="0"/>
        <v>1.4063407201118074</v>
      </c>
      <c r="E33" s="4">
        <f>52723.21+18155.98+18530.3+98.33+8.96+6.82-82.37</f>
        <v>89441.23000000003</v>
      </c>
      <c r="F33" s="4">
        <v>345.43</v>
      </c>
      <c r="G33" s="18">
        <f t="shared" si="1"/>
        <v>0.3862089105885506</v>
      </c>
      <c r="H33" s="6">
        <f t="shared" si="2"/>
        <v>502180.47000000003</v>
      </c>
      <c r="I33" s="6">
        <f t="shared" si="3"/>
        <v>6149.950000000001</v>
      </c>
      <c r="J33" s="18">
        <f t="shared" si="4"/>
        <v>1.2246493775434955</v>
      </c>
    </row>
    <row r="34" spans="1:10" ht="15">
      <c r="A34" s="2" t="s">
        <v>38</v>
      </c>
      <c r="B34" s="4">
        <f>336663.56+3233.28+12.2-853.76</f>
        <v>339055.28</v>
      </c>
      <c r="C34" s="4">
        <v>5417.09</v>
      </c>
      <c r="D34" s="18">
        <f t="shared" si="0"/>
        <v>1.5977011182365306</v>
      </c>
      <c r="E34" s="4">
        <f>28915.69+1354.54+4721.67+1027.2+6.55+36.2-15</f>
        <v>36046.85</v>
      </c>
      <c r="F34" s="4">
        <f>249.39+34.81</f>
        <v>284.2</v>
      </c>
      <c r="G34" s="18">
        <f t="shared" si="1"/>
        <v>0.788418405491742</v>
      </c>
      <c r="H34" s="6">
        <f t="shared" si="2"/>
        <v>375102.13</v>
      </c>
      <c r="I34" s="6">
        <f t="shared" si="3"/>
        <v>5701.29</v>
      </c>
      <c r="J34" s="18">
        <f t="shared" si="4"/>
        <v>1.5199300521167394</v>
      </c>
    </row>
    <row r="35" spans="1:10" ht="15">
      <c r="A35" s="2" t="s">
        <v>39</v>
      </c>
      <c r="B35" s="4">
        <f>6538425.68+6773.56+3816.33+168.24-15139.31</f>
        <v>6534044.5</v>
      </c>
      <c r="C35" s="4">
        <v>47973.14</v>
      </c>
      <c r="D35" s="18">
        <f t="shared" si="0"/>
        <v>0.7342028356250099</v>
      </c>
      <c r="E35" s="4">
        <f>1127456.17+444281.4+238053.74+19045.44+2712.24+1586.8+2866.61+7688.2-14683.31-4460.04-222.75</f>
        <v>1824324.4999999998</v>
      </c>
      <c r="F35" s="4">
        <f>9331.87+29.64+616.62</f>
        <v>9978.130000000001</v>
      </c>
      <c r="G35" s="18">
        <f t="shared" si="1"/>
        <v>0.5469492954789569</v>
      </c>
      <c r="H35" s="6">
        <f t="shared" si="2"/>
        <v>8358369</v>
      </c>
      <c r="I35" s="6">
        <f t="shared" si="3"/>
        <v>57951.270000000004</v>
      </c>
      <c r="J35" s="18">
        <f t="shared" si="4"/>
        <v>0.6933322757107279</v>
      </c>
    </row>
    <row r="36" spans="1:10" ht="15">
      <c r="A36" s="23" t="s">
        <v>40</v>
      </c>
      <c r="B36" s="4">
        <f>650989.94+19.83+1080.63+187.12-1560.62</f>
        <v>650716.8999999999</v>
      </c>
      <c r="C36" s="4">
        <v>24619.5</v>
      </c>
      <c r="D36" s="18">
        <f t="shared" si="0"/>
        <v>3.7834425385294286</v>
      </c>
      <c r="E36" s="4">
        <f>24540.55+4807.48+3457.97+118.28+3.41+522.34</f>
        <v>33450.03</v>
      </c>
      <c r="F36" s="4">
        <f>1356.31+81.55</f>
        <v>1437.86</v>
      </c>
      <c r="G36" s="18">
        <f t="shared" si="1"/>
        <v>4.298531271870309</v>
      </c>
      <c r="H36" s="6">
        <f t="shared" si="2"/>
        <v>684166.9299999999</v>
      </c>
      <c r="I36" s="6">
        <f t="shared" si="3"/>
        <v>26057.36</v>
      </c>
      <c r="J36" s="18">
        <f t="shared" si="4"/>
        <v>3.8086260614788854</v>
      </c>
    </row>
    <row r="37" spans="1:10" ht="15">
      <c r="A37" s="2" t="s">
        <v>41</v>
      </c>
      <c r="B37" s="4">
        <f>165880.85+205.49+1421.29-1343.34</f>
        <v>166164.29</v>
      </c>
      <c r="C37" s="4">
        <v>8762.74</v>
      </c>
      <c r="D37" s="18">
        <f t="shared" si="0"/>
        <v>5.273539820138249</v>
      </c>
      <c r="E37" s="4">
        <f>8803.74+72.43+509.19+5.16-120.98</f>
        <v>9269.54</v>
      </c>
      <c r="F37" s="4">
        <f>749.12+0.9</f>
        <v>750.02</v>
      </c>
      <c r="G37" s="18">
        <f t="shared" si="1"/>
        <v>8.091232143126842</v>
      </c>
      <c r="H37" s="6">
        <f t="shared" si="2"/>
        <v>175433.83000000002</v>
      </c>
      <c r="I37" s="6">
        <f t="shared" si="3"/>
        <v>9512.76</v>
      </c>
      <c r="J37" s="18">
        <f t="shared" si="4"/>
        <v>5.422420521743155</v>
      </c>
    </row>
    <row r="38" spans="1:10" ht="15">
      <c r="A38" s="2" t="s">
        <v>42</v>
      </c>
      <c r="B38" s="4">
        <f>465956+295.24+2574.46+170.69-2766.35</f>
        <v>466230.04000000004</v>
      </c>
      <c r="C38" s="4">
        <v>18874.15</v>
      </c>
      <c r="D38" s="18">
        <f t="shared" si="0"/>
        <v>4.048248371125979</v>
      </c>
      <c r="E38" s="4">
        <f>46316.32+4078.71+4875.04+0.27+377.75-28.44-376.5</f>
        <v>55243.149999999994</v>
      </c>
      <c r="F38" s="4">
        <f>781.72+68.48</f>
        <v>850.2</v>
      </c>
      <c r="G38" s="18">
        <f t="shared" si="1"/>
        <v>1.5390143393343791</v>
      </c>
      <c r="H38" s="6">
        <f t="shared" si="2"/>
        <v>521473.19000000006</v>
      </c>
      <c r="I38" s="6">
        <f t="shared" si="3"/>
        <v>19724.350000000002</v>
      </c>
      <c r="J38" s="18">
        <f t="shared" si="4"/>
        <v>3.78242839291508</v>
      </c>
    </row>
    <row r="39" spans="1:10" ht="15">
      <c r="A39" s="2" t="s">
        <v>43</v>
      </c>
      <c r="B39" s="4">
        <f>30369997.41+767.87+2122.58+3031.83-15220.48</f>
        <v>30360699.209999997</v>
      </c>
      <c r="C39" s="4">
        <v>136582.78</v>
      </c>
      <c r="D39" s="18">
        <f t="shared" si="0"/>
        <v>0.4498670437570598</v>
      </c>
      <c r="E39" s="4">
        <f>4604904.21+631987.42+605211.2+11149.35+6832.39+12.68+0.53+64733.96+6411.87+972.92+16.5-11482.59-7932.74</f>
        <v>5912817.699999999</v>
      </c>
      <c r="F39" s="4">
        <f>16794.99+783.29+3324.45+45</f>
        <v>20947.730000000003</v>
      </c>
      <c r="G39" s="18">
        <f t="shared" si="1"/>
        <v>0.3542766082573458</v>
      </c>
      <c r="H39" s="6">
        <f t="shared" si="2"/>
        <v>36273516.91</v>
      </c>
      <c r="I39" s="6">
        <f t="shared" si="3"/>
        <v>157530.51</v>
      </c>
      <c r="J39" s="18">
        <f t="shared" si="4"/>
        <v>0.4342851849487236</v>
      </c>
    </row>
    <row r="40" spans="1:10" ht="15">
      <c r="A40" s="2" t="s">
        <v>44</v>
      </c>
      <c r="B40" s="15">
        <f>634601.39-2576.52+159.61</f>
        <v>632184.48</v>
      </c>
      <c r="C40" s="15">
        <v>11582.12</v>
      </c>
      <c r="D40" s="18">
        <f t="shared" si="0"/>
        <v>1.8320791424680343</v>
      </c>
      <c r="E40" s="15">
        <f>85388.27+43566.37+17423.42+21.87+14.81</f>
        <v>146414.74</v>
      </c>
      <c r="F40" s="15">
        <f>1077.34+45.91</f>
        <v>1123.25</v>
      </c>
      <c r="G40" s="18">
        <f t="shared" si="1"/>
        <v>0.7671700267336472</v>
      </c>
      <c r="H40" s="6">
        <f t="shared" si="2"/>
        <v>778599.22</v>
      </c>
      <c r="I40" s="6">
        <f t="shared" si="3"/>
        <v>12705.37</v>
      </c>
      <c r="J40" s="18">
        <f t="shared" si="4"/>
        <v>1.6318241366848532</v>
      </c>
    </row>
    <row r="41" spans="1:10" ht="15">
      <c r="A41" s="2" t="s">
        <v>45</v>
      </c>
      <c r="B41" s="4">
        <f>1252692.83+121.63+77284.29-8224.65</f>
        <v>1321874.1</v>
      </c>
      <c r="C41" s="4">
        <f>123513.71</f>
        <v>123513.71</v>
      </c>
      <c r="D41" s="18">
        <f t="shared" si="0"/>
        <v>9.343833122988036</v>
      </c>
      <c r="E41" s="4">
        <f>439483.76+222011.44+48258.83+375+5824.25+281.79</f>
        <v>716235.07</v>
      </c>
      <c r="F41" s="4">
        <f>59442.87+58.93+378.76</f>
        <v>59880.560000000005</v>
      </c>
      <c r="G41" s="18">
        <f t="shared" si="1"/>
        <v>8.36046188020366</v>
      </c>
      <c r="H41" s="6">
        <f t="shared" si="2"/>
        <v>2038109.17</v>
      </c>
      <c r="I41" s="6">
        <f t="shared" si="3"/>
        <v>183394.27000000002</v>
      </c>
      <c r="J41" s="18">
        <f t="shared" si="4"/>
        <v>8.998255476177462</v>
      </c>
    </row>
    <row r="42" spans="1:10" ht="15">
      <c r="A42" s="2" t="s">
        <v>46</v>
      </c>
      <c r="B42" s="15">
        <f>3568206.23+592.19+534.63-11664.76</f>
        <v>3557668.29</v>
      </c>
      <c r="C42" s="6">
        <v>50563.03</v>
      </c>
      <c r="D42" s="18">
        <f t="shared" si="0"/>
        <v>1.4212407081942986</v>
      </c>
      <c r="E42" s="15">
        <f>512085.63+311576.17+72391.04+213.17+39.82+323.98-13983.35-634.2</f>
        <v>882012.2600000001</v>
      </c>
      <c r="F42" s="15">
        <f>858.6+11.98+139.45</f>
        <v>1010.03</v>
      </c>
      <c r="G42" s="18">
        <f t="shared" si="1"/>
        <v>0.11451428124139677</v>
      </c>
      <c r="H42" s="6">
        <f t="shared" si="2"/>
        <v>4439680.55</v>
      </c>
      <c r="I42" s="6">
        <f t="shared" si="3"/>
        <v>51573.06</v>
      </c>
      <c r="J42" s="18">
        <f t="shared" si="4"/>
        <v>1.161638983237206</v>
      </c>
    </row>
    <row r="43" spans="1:10" ht="15">
      <c r="A43" s="2" t="s">
        <v>47</v>
      </c>
      <c r="B43" s="4">
        <f>233060.05+73.13+105.53-477.14</f>
        <v>232761.56999999998</v>
      </c>
      <c r="C43" s="4">
        <f>5584.03</f>
        <v>5584.03</v>
      </c>
      <c r="D43" s="18">
        <f t="shared" si="0"/>
        <v>2.3990343423100304</v>
      </c>
      <c r="E43" s="4">
        <f>89025.03+49887.54+34997.37+465.19+45.53-1659.25</f>
        <v>172761.41</v>
      </c>
      <c r="F43" s="4">
        <f>984.42+1988.81+604.32</f>
        <v>3577.55</v>
      </c>
      <c r="G43" s="18">
        <f t="shared" si="1"/>
        <v>2.070803890753149</v>
      </c>
      <c r="H43" s="6">
        <f t="shared" si="2"/>
        <v>405522.98</v>
      </c>
      <c r="I43" s="6">
        <f t="shared" si="3"/>
        <v>9161.58</v>
      </c>
      <c r="J43" s="18">
        <f t="shared" si="4"/>
        <v>2.259201192494689</v>
      </c>
    </row>
    <row r="44" spans="1:10" ht="15">
      <c r="A44" s="2" t="s">
        <v>48</v>
      </c>
      <c r="B44" s="16">
        <f>488848.11+2626.17+381.86-1203.04+12694.52</f>
        <v>503347.62</v>
      </c>
      <c r="C44" s="15">
        <v>11068.32</v>
      </c>
      <c r="D44" s="18">
        <f t="shared" si="0"/>
        <v>2.1989415585197363</v>
      </c>
      <c r="E44" s="15">
        <f>136462.03+302593.24+49599.81+2452.79+0.27+289.9-940.58</f>
        <v>490457.46</v>
      </c>
      <c r="F44" s="15">
        <f>1020.34+1.93</f>
        <v>1022.27</v>
      </c>
      <c r="G44" s="18">
        <f t="shared" si="1"/>
        <v>0.20843194025430867</v>
      </c>
      <c r="H44" s="6">
        <f t="shared" si="2"/>
        <v>993805.0800000001</v>
      </c>
      <c r="I44" s="6">
        <f t="shared" si="3"/>
        <v>12090.59</v>
      </c>
      <c r="J44" s="18">
        <f t="shared" si="4"/>
        <v>1.2165957131150908</v>
      </c>
    </row>
    <row r="45" spans="1:10" ht="15">
      <c r="A45" s="2" t="s">
        <v>49</v>
      </c>
      <c r="B45" s="15">
        <f>826716.08+1180.84+106.65+140.3-2133.41</f>
        <v>826010.46</v>
      </c>
      <c r="C45" s="15">
        <f>14587.95</f>
        <v>14587.95</v>
      </c>
      <c r="D45" s="18">
        <f t="shared" si="0"/>
        <v>1.766073277086588</v>
      </c>
      <c r="E45" s="15">
        <f>39501.17+12277.12+5408.68+45.17+31.52+19.31+2590.38+695.92+155.25+2.1-371.66-761.55</f>
        <v>59593.40999999998</v>
      </c>
      <c r="F45" s="15">
        <f>2122.67+16.32</f>
        <v>2138.9900000000002</v>
      </c>
      <c r="G45" s="18">
        <f t="shared" si="1"/>
        <v>3.5893062672533773</v>
      </c>
      <c r="H45" s="6">
        <f t="shared" si="2"/>
        <v>885603.87</v>
      </c>
      <c r="I45" s="6">
        <f t="shared" si="3"/>
        <v>16726.940000000002</v>
      </c>
      <c r="J45" s="18">
        <f t="shared" si="4"/>
        <v>1.8887609422935339</v>
      </c>
    </row>
    <row r="46" spans="1:10" ht="15">
      <c r="A46" s="2" t="s">
        <v>50</v>
      </c>
      <c r="B46" s="4">
        <f>1265739.12+292.8-966.12+328.8</f>
        <v>1265394.6</v>
      </c>
      <c r="C46" s="4">
        <v>18698.23</v>
      </c>
      <c r="D46" s="18">
        <f t="shared" si="0"/>
        <v>1.477660012141667</v>
      </c>
      <c r="E46" s="4">
        <f>107541.25+65131.71+32466.41+1.25-9.94</f>
        <v>205130.68</v>
      </c>
      <c r="F46" s="4">
        <v>240.5</v>
      </c>
      <c r="G46" s="18">
        <f t="shared" si="1"/>
        <v>0.11724233547122254</v>
      </c>
      <c r="H46" s="6">
        <f t="shared" si="2"/>
        <v>1470525.28</v>
      </c>
      <c r="I46" s="6">
        <f t="shared" si="3"/>
        <v>18938.73</v>
      </c>
      <c r="J46" s="18">
        <f t="shared" si="4"/>
        <v>1.2878887740032594</v>
      </c>
    </row>
    <row r="47" spans="1:10" ht="15">
      <c r="A47" s="2" t="s">
        <v>51</v>
      </c>
      <c r="B47" s="4">
        <f>1757719.93+342.22+1679.9-9070.77+18900</f>
        <v>1769571.2799999998</v>
      </c>
      <c r="C47" s="4">
        <v>28449.28</v>
      </c>
      <c r="D47" s="18">
        <f t="shared" si="0"/>
        <v>1.6076933617503106</v>
      </c>
      <c r="E47" s="4">
        <f>367181.89+62377.22+88773.19+2731.96+214.1+5320.4+175.17+28.61+3.17-2348.91-9-28.61</f>
        <v>524419.1900000001</v>
      </c>
      <c r="F47" s="4">
        <f>2311.35+72.87</f>
        <v>2384.22</v>
      </c>
      <c r="G47" s="18">
        <f t="shared" si="1"/>
        <v>0.4546401133795275</v>
      </c>
      <c r="H47" s="6">
        <f t="shared" si="2"/>
        <v>2293990.4699999997</v>
      </c>
      <c r="I47" s="6">
        <f t="shared" si="3"/>
        <v>30833.5</v>
      </c>
      <c r="J47" s="18">
        <f t="shared" si="4"/>
        <v>1.3440988706461368</v>
      </c>
    </row>
    <row r="48" spans="1:10" ht="15">
      <c r="A48" s="2" t="s">
        <v>52</v>
      </c>
      <c r="B48" s="4">
        <f>1290100.94+1059.44+503.5-5270.4+2640</f>
        <v>1289033.48</v>
      </c>
      <c r="C48" s="4">
        <f>26644.89+134.35</f>
        <v>26779.239999999998</v>
      </c>
      <c r="D48" s="18">
        <f t="shared" si="0"/>
        <v>2.0774665992383685</v>
      </c>
      <c r="E48" s="4">
        <f>163051.45+99862.43+48799.71+67.63+5.76+25.34+1254-173.95-219.31</f>
        <v>312673.06000000006</v>
      </c>
      <c r="F48" s="4">
        <f>560+174.78</f>
        <v>734.78</v>
      </c>
      <c r="G48" s="18">
        <f t="shared" si="1"/>
        <v>0.23499945917950205</v>
      </c>
      <c r="H48" s="6">
        <f t="shared" si="2"/>
        <v>1601706.54</v>
      </c>
      <c r="I48" s="6">
        <f t="shared" si="3"/>
        <v>27514.019999999997</v>
      </c>
      <c r="J48" s="18">
        <f t="shared" si="4"/>
        <v>1.7177940723148946</v>
      </c>
    </row>
    <row r="49" spans="1:10" ht="15">
      <c r="A49" s="2" t="s">
        <v>53</v>
      </c>
      <c r="B49" s="4">
        <f>393269.16+202.52+400.52+45.14-1139.76</f>
        <v>392777.58</v>
      </c>
      <c r="C49" s="4">
        <f>11565.33</f>
        <v>11565.33</v>
      </c>
      <c r="D49" s="18">
        <f t="shared" si="0"/>
        <v>2.9444985123641727</v>
      </c>
      <c r="E49" s="4">
        <f>29546.34+6305.67+5416.97+0.63+154.26-136.13</f>
        <v>41287.740000000005</v>
      </c>
      <c r="F49" s="4">
        <f>346.16+0.75</f>
        <v>346.91</v>
      </c>
      <c r="G49" s="18">
        <f t="shared" si="1"/>
        <v>0.8402252097111635</v>
      </c>
      <c r="H49" s="6">
        <f t="shared" si="2"/>
        <v>434065.32</v>
      </c>
      <c r="I49" s="6">
        <f t="shared" si="3"/>
        <v>11912.24</v>
      </c>
      <c r="J49" s="18">
        <f t="shared" si="4"/>
        <v>2.7443427178195208</v>
      </c>
    </row>
    <row r="50" spans="1:10" ht="15">
      <c r="A50" s="2" t="s">
        <v>54</v>
      </c>
      <c r="B50" s="15">
        <f>1588894.6+45.02+14807.45+1710.52-9871.13</f>
        <v>1595586.4600000002</v>
      </c>
      <c r="C50" s="15">
        <v>50135.03</v>
      </c>
      <c r="D50" s="18">
        <f t="shared" si="0"/>
        <v>3.142106758664773</v>
      </c>
      <c r="E50" s="15">
        <f>221726.56+154689.16+58246.69+152.79+234.79+5.91-40.13-352.3-1.7</f>
        <v>434661.7699999999</v>
      </c>
      <c r="F50" s="15">
        <f>1848.72+40.19</f>
        <v>1888.91</v>
      </c>
      <c r="G50" s="18">
        <f t="shared" si="1"/>
        <v>0.434570079627661</v>
      </c>
      <c r="H50" s="6">
        <f t="shared" si="2"/>
        <v>2030248.23</v>
      </c>
      <c r="I50" s="6">
        <f t="shared" si="3"/>
        <v>52023.94</v>
      </c>
      <c r="J50" s="18">
        <f t="shared" si="4"/>
        <v>2.562442327557158</v>
      </c>
    </row>
    <row r="51" spans="1:10" ht="15">
      <c r="A51" s="2" t="s">
        <v>55</v>
      </c>
      <c r="B51" s="15">
        <f>493921.44+60000+34.16+670.24+265.96-748.71</f>
        <v>554143.09</v>
      </c>
      <c r="C51" s="15">
        <v>5115.67</v>
      </c>
      <c r="D51" s="18">
        <f t="shared" si="0"/>
        <v>0.9231676966322905</v>
      </c>
      <c r="E51" s="15">
        <f>497460.76+853131.64+69922.04+49.57+178.43</f>
        <v>1420742.44</v>
      </c>
      <c r="F51" s="15">
        <v>14.96</v>
      </c>
      <c r="G51" s="18">
        <f t="shared" si="1"/>
        <v>0.001052970586280227</v>
      </c>
      <c r="H51" s="6">
        <f t="shared" si="2"/>
        <v>1974885.5299999998</v>
      </c>
      <c r="I51" s="6">
        <f t="shared" si="3"/>
        <v>5130.63</v>
      </c>
      <c r="J51" s="18">
        <f t="shared" si="4"/>
        <v>0.25979379169384065</v>
      </c>
    </row>
    <row r="52" spans="1:10" ht="15">
      <c r="A52" s="23" t="s">
        <v>56</v>
      </c>
      <c r="B52" s="4">
        <f>7055777.32+663.44+1964.29+799.54-9679.24+2599.5</f>
        <v>7052124.850000001</v>
      </c>
      <c r="C52" s="4">
        <v>97856.5</v>
      </c>
      <c r="D52" s="18">
        <f t="shared" si="0"/>
        <v>1.3876172370941502</v>
      </c>
      <c r="E52" s="4">
        <f>994721.31+974374.21+223141.62+862.07+13.64+6287.13+20081.2+1218.36-6.56-27.64</f>
        <v>2220665.34</v>
      </c>
      <c r="F52" s="4">
        <f>13019.56+112.26+1713.79+4.2</f>
        <v>14849.810000000001</v>
      </c>
      <c r="G52" s="18">
        <f t="shared" si="1"/>
        <v>0.6687099461821655</v>
      </c>
      <c r="H52" s="6">
        <f t="shared" si="2"/>
        <v>9272790.190000001</v>
      </c>
      <c r="I52" s="6">
        <f t="shared" si="3"/>
        <v>112706.31</v>
      </c>
      <c r="J52" s="18">
        <f t="shared" si="4"/>
        <v>1.2154519588024884</v>
      </c>
    </row>
    <row r="53" spans="1:10" ht="15">
      <c r="A53" s="2" t="s">
        <v>57</v>
      </c>
      <c r="B53" s="4">
        <f>710951.57+41146.62+111.75-5612.72</f>
        <v>746597.22</v>
      </c>
      <c r="C53" s="4">
        <v>51382.04</v>
      </c>
      <c r="D53" s="18">
        <f t="shared" si="0"/>
        <v>6.8821633169220755</v>
      </c>
      <c r="E53" s="4">
        <f>495684.24+70488.43+18187.48-20.12</f>
        <v>584340.0299999999</v>
      </c>
      <c r="F53" s="4">
        <f>88183.06+20687.15+98.34</f>
        <v>108968.54999999999</v>
      </c>
      <c r="G53" s="18">
        <f t="shared" si="1"/>
        <v>18.648140535571386</v>
      </c>
      <c r="H53" s="6">
        <f t="shared" si="2"/>
        <v>1330937.25</v>
      </c>
      <c r="I53" s="6">
        <f t="shared" si="3"/>
        <v>160350.59</v>
      </c>
      <c r="J53" s="18">
        <f t="shared" si="4"/>
        <v>12.0479451604499</v>
      </c>
    </row>
    <row r="54" spans="1:10" ht="15">
      <c r="A54" s="2" t="s">
        <v>58</v>
      </c>
      <c r="B54" s="15">
        <f>975710.18+57.1-2138.19</f>
        <v>973629.0900000001</v>
      </c>
      <c r="C54" s="15">
        <v>11320.32</v>
      </c>
      <c r="D54" s="18">
        <f t="shared" si="0"/>
        <v>1.1626932798402725</v>
      </c>
      <c r="E54" s="15">
        <f>127063.81+118596.16+19867.77+1817.04+0.95+32.36+430.61+95.23+3.75-1485.32-2.25</f>
        <v>266420.1099999999</v>
      </c>
      <c r="F54" s="15">
        <f>6.71+12.5</f>
        <v>19.21</v>
      </c>
      <c r="G54" s="18">
        <f t="shared" si="1"/>
        <v>0.00721041666111466</v>
      </c>
      <c r="H54" s="6">
        <f t="shared" si="2"/>
        <v>1240049.2</v>
      </c>
      <c r="I54" s="6">
        <f t="shared" si="3"/>
        <v>11339.529999999999</v>
      </c>
      <c r="J54" s="18">
        <f t="shared" si="4"/>
        <v>0.9144419431099992</v>
      </c>
    </row>
    <row r="55" spans="1:10" ht="15">
      <c r="A55" s="2" t="s">
        <v>59</v>
      </c>
      <c r="B55" s="15">
        <f>832833.37+2429.04+52.46+1380.79-3092.74</f>
        <v>833602.92</v>
      </c>
      <c r="C55" s="15">
        <f>15768.73</f>
        <v>15768.73</v>
      </c>
      <c r="D55" s="18">
        <f t="shared" si="0"/>
        <v>1.8916356483012315</v>
      </c>
      <c r="E55" s="15">
        <f>91741.78+259972.37+50295.78+750.38+13.64+2452.58+9.2+22.11+157.17-7323.73-135.82</f>
        <v>397955.4600000001</v>
      </c>
      <c r="F55" s="15">
        <f>1272.62+40.89</f>
        <v>1313.51</v>
      </c>
      <c r="G55" s="18">
        <f t="shared" si="1"/>
        <v>0.33006457556833113</v>
      </c>
      <c r="H55" s="6">
        <f t="shared" si="2"/>
        <v>1231558.3800000001</v>
      </c>
      <c r="I55" s="6">
        <f t="shared" si="3"/>
        <v>17082.239999999998</v>
      </c>
      <c r="J55" s="18">
        <f t="shared" si="4"/>
        <v>1.3870426507917553</v>
      </c>
    </row>
    <row r="56" spans="1:10" ht="15">
      <c r="A56" s="2" t="s">
        <v>60</v>
      </c>
      <c r="B56" s="4">
        <f>2593897.62+23488.56+19936.92+299.09-4072.57</f>
        <v>2633549.62</v>
      </c>
      <c r="C56" s="4">
        <v>37031.01</v>
      </c>
      <c r="D56" s="18">
        <f t="shared" si="0"/>
        <v>1.4061253951235595</v>
      </c>
      <c r="E56" s="4">
        <f>586100.91+479085.18+145108.61+8977.55+40.64+4.87+2.47+8.97-18.79</f>
        <v>1219310.4100000001</v>
      </c>
      <c r="F56" s="4">
        <f>4771.13+59.79+944.28</f>
        <v>5775.2</v>
      </c>
      <c r="G56" s="18">
        <f t="shared" si="1"/>
        <v>0.47364477106367026</v>
      </c>
      <c r="H56" s="6">
        <f t="shared" si="2"/>
        <v>3852860.0300000003</v>
      </c>
      <c r="I56" s="6">
        <f t="shared" si="3"/>
        <v>42806.21</v>
      </c>
      <c r="J56" s="18">
        <f t="shared" si="4"/>
        <v>1.1110242694178536</v>
      </c>
    </row>
    <row r="57" spans="1:10" ht="15">
      <c r="A57" s="2" t="s">
        <v>61</v>
      </c>
      <c r="B57" s="15">
        <f>843665.16+90.04+556.15+8883.31-2560.78</f>
        <v>850633.8800000001</v>
      </c>
      <c r="C57" s="15">
        <v>12012.24</v>
      </c>
      <c r="D57" s="18">
        <f t="shared" si="0"/>
        <v>1.412151606282129</v>
      </c>
      <c r="E57" s="15">
        <f>77272.05+38857.53+29359.62+54.88+26.43+29.5-86.74-1263.17</f>
        <v>144250.1</v>
      </c>
      <c r="F57" s="15">
        <f>308.94+48.76+41.79</f>
        <v>399.49</v>
      </c>
      <c r="G57" s="18">
        <f t="shared" si="1"/>
        <v>0.27694261563770145</v>
      </c>
      <c r="H57" s="6">
        <f t="shared" si="2"/>
        <v>994883.9800000001</v>
      </c>
      <c r="I57" s="6">
        <f t="shared" si="3"/>
        <v>12411.73</v>
      </c>
      <c r="J57" s="18">
        <f t="shared" si="4"/>
        <v>1.2475555189862437</v>
      </c>
    </row>
    <row r="58" spans="1:10" ht="15">
      <c r="A58" s="2" t="s">
        <v>62</v>
      </c>
      <c r="B58" s="4">
        <f>243047.6+264.62+19.49+3.05-1247.89</f>
        <v>242086.86999999997</v>
      </c>
      <c r="C58" s="4">
        <f>2242.38+27.69</f>
        <v>2270.07</v>
      </c>
      <c r="D58" s="18">
        <f t="shared" si="0"/>
        <v>0.9377088480676381</v>
      </c>
      <c r="E58" s="8">
        <f>45919.56+842.28+10231.78+558.96+64.72-199.59-0.83</f>
        <v>57416.88</v>
      </c>
      <c r="F58" s="4">
        <v>3.73</v>
      </c>
      <c r="G58" s="18">
        <f t="shared" si="1"/>
        <v>0.006496347415603216</v>
      </c>
      <c r="H58" s="6">
        <f t="shared" si="2"/>
        <v>299503.74999999994</v>
      </c>
      <c r="I58" s="6">
        <f t="shared" si="3"/>
        <v>2273.8</v>
      </c>
      <c r="J58" s="18">
        <f t="shared" si="4"/>
        <v>0.759189158733405</v>
      </c>
    </row>
    <row r="59" spans="1:10" ht="15">
      <c r="A59" s="2" t="s">
        <v>63</v>
      </c>
      <c r="B59" s="4">
        <f>2254821.7+1402.5+167.99+7023.63+3714.42-11271.88</f>
        <v>2255858.3600000003</v>
      </c>
      <c r="C59" s="4">
        <v>41578.1</v>
      </c>
      <c r="D59" s="18">
        <f t="shared" si="0"/>
        <v>1.8431166041825424</v>
      </c>
      <c r="E59" s="4">
        <f>1037721.98+286694.5+104368.42+1602.38+43.12+28.46+5875.99+59.91-2604.62-480.53-18.745</f>
        <v>1433290.8649999995</v>
      </c>
      <c r="F59" s="4">
        <f>5386.53+4136.55+1496.04</f>
        <v>11019.119999999999</v>
      </c>
      <c r="G59" s="18">
        <f t="shared" si="1"/>
        <v>0.76879859274063</v>
      </c>
      <c r="H59" s="6">
        <f t="shared" si="2"/>
        <v>3689149.2249999996</v>
      </c>
      <c r="I59" s="6">
        <f t="shared" si="3"/>
        <v>52597.22</v>
      </c>
      <c r="J59" s="18">
        <f t="shared" si="4"/>
        <v>1.4257276350755372</v>
      </c>
    </row>
    <row r="60" spans="1:10" ht="15">
      <c r="A60" s="2" t="s">
        <v>64</v>
      </c>
      <c r="B60" s="4">
        <f>303418.69+244+384.02+569.62-4477.28</f>
        <v>300139.05</v>
      </c>
      <c r="C60" s="4">
        <v>15987.76</v>
      </c>
      <c r="D60" s="18">
        <f t="shared" si="0"/>
        <v>5.326784368778405</v>
      </c>
      <c r="E60" s="4">
        <f>25320.91+7687.43+3890.39+0.01+5.34-5568.49-652.41-58.56</f>
        <v>30624.619999999995</v>
      </c>
      <c r="F60" s="4">
        <f>1897.16-276.19</f>
        <v>1620.97</v>
      </c>
      <c r="G60" s="18">
        <f t="shared" si="1"/>
        <v>5.293028942073405</v>
      </c>
      <c r="H60" s="6">
        <f t="shared" si="2"/>
        <v>330763.67</v>
      </c>
      <c r="I60" s="6">
        <f t="shared" si="3"/>
        <v>17608.73</v>
      </c>
      <c r="J60" s="18">
        <f t="shared" si="4"/>
        <v>5.323659034258508</v>
      </c>
    </row>
    <row r="61" spans="1:10" ht="15">
      <c r="A61" s="2" t="s">
        <v>65</v>
      </c>
      <c r="B61" s="4">
        <f>71342774.82+5351.58+39198.45+445.19-97545.58</f>
        <v>71290224.46</v>
      </c>
      <c r="C61" s="4">
        <f>780970.08</f>
        <v>780970.08</v>
      </c>
      <c r="D61" s="18">
        <f t="shared" si="0"/>
        <v>1.0954799005271643</v>
      </c>
      <c r="E61" s="4">
        <f>12228103.51+4992416.16+1786394.29+28431.68+25886+95706.25+105134.16+36136.66+11.45-9482.12-321.24-7446.79-29.84</f>
        <v>19280940.17</v>
      </c>
      <c r="F61" s="4">
        <f>126239.75+17277.95+16783.27+33.04+10.17</f>
        <v>160344.18000000002</v>
      </c>
      <c r="G61" s="18">
        <f t="shared" si="1"/>
        <v>0.8316201315197588</v>
      </c>
      <c r="H61" s="6">
        <f t="shared" si="2"/>
        <v>90571164.63</v>
      </c>
      <c r="I61" s="6">
        <f t="shared" si="3"/>
        <v>941314.26</v>
      </c>
      <c r="J61" s="18">
        <f t="shared" si="4"/>
        <v>1.039308994032972</v>
      </c>
    </row>
    <row r="62" spans="1:10" ht="15">
      <c r="A62" s="2" t="s">
        <v>66</v>
      </c>
      <c r="B62" s="4">
        <f>4291442.26+331.48-2481.6</f>
        <v>4289292.140000001</v>
      </c>
      <c r="C62" s="4">
        <v>47061.73</v>
      </c>
      <c r="D62" s="18">
        <f t="shared" si="0"/>
        <v>1.097191062392873</v>
      </c>
      <c r="E62" s="4">
        <f>479470.13+161373.62+105147.05+2736.59+31.11+827.97+14.78+293.03-32.32-0.75</f>
        <v>749861.2100000001</v>
      </c>
      <c r="F62" s="4">
        <f>28096.14+109.49+235.23</f>
        <v>28440.86</v>
      </c>
      <c r="G62" s="18">
        <f t="shared" si="1"/>
        <v>3.792816540010117</v>
      </c>
      <c r="H62" s="6">
        <f t="shared" si="2"/>
        <v>5039153.350000001</v>
      </c>
      <c r="I62" s="6">
        <f t="shared" si="3"/>
        <v>75502.59</v>
      </c>
      <c r="J62" s="18">
        <f t="shared" si="4"/>
        <v>1.4983189586798344</v>
      </c>
    </row>
    <row r="63" spans="1:10" ht="15">
      <c r="A63" s="2" t="s">
        <v>67</v>
      </c>
      <c r="B63" s="4">
        <f>877087.28+2.32+6189.65+366-7349.95</f>
        <v>876295.3</v>
      </c>
      <c r="C63" s="4">
        <v>38626.91</v>
      </c>
      <c r="D63" s="18">
        <f t="shared" si="0"/>
        <v>4.40797868024626</v>
      </c>
      <c r="E63" s="4">
        <f>266715.17+4034.5+18478.36+279.05+114.03-15.62-186.81</f>
        <v>289418.68</v>
      </c>
      <c r="F63" s="4">
        <f>30840.74+49.97+582.8+22.5</f>
        <v>31496.010000000002</v>
      </c>
      <c r="G63" s="18">
        <f t="shared" si="1"/>
        <v>10.882507652926895</v>
      </c>
      <c r="H63" s="6">
        <f t="shared" si="2"/>
        <v>1165713.98</v>
      </c>
      <c r="I63" s="6">
        <f t="shared" si="3"/>
        <v>70122.92000000001</v>
      </c>
      <c r="J63" s="18">
        <f t="shared" si="4"/>
        <v>6.015448146208216</v>
      </c>
    </row>
    <row r="64" spans="1:10" ht="15">
      <c r="A64" s="2" t="s">
        <v>68</v>
      </c>
      <c r="B64" s="15">
        <f>12445398.89+193.5+4979.92-27651.3</f>
        <v>12422921.01</v>
      </c>
      <c r="C64" s="15">
        <v>148206.09</v>
      </c>
      <c r="D64" s="18">
        <f t="shared" si="0"/>
        <v>1.1930051706897231</v>
      </c>
      <c r="E64" s="15">
        <f>1287392.23+526701.9+253076.19+2.95+2.4+439.19+2122.96-5099.76-2072.91</f>
        <v>2062565.1499999997</v>
      </c>
      <c r="F64" s="15">
        <f>17434.7+679.1</f>
        <v>18113.8</v>
      </c>
      <c r="G64" s="18">
        <f t="shared" si="1"/>
        <v>0.8782171074693084</v>
      </c>
      <c r="H64" s="6">
        <f t="shared" si="2"/>
        <v>14485486.16</v>
      </c>
      <c r="I64" s="6">
        <f t="shared" si="3"/>
        <v>166319.88999999998</v>
      </c>
      <c r="J64" s="18">
        <f t="shared" si="4"/>
        <v>1.148183003061873</v>
      </c>
    </row>
    <row r="65" spans="1:10" ht="15">
      <c r="A65" s="2" t="s">
        <v>69</v>
      </c>
      <c r="B65" s="4">
        <f>358257.74+101776.85+255.03-8778.88</f>
        <v>451510.74</v>
      </c>
      <c r="C65" s="4">
        <v>42211.78</v>
      </c>
      <c r="D65" s="18">
        <f t="shared" si="0"/>
        <v>9.349009062331497</v>
      </c>
      <c r="E65" s="4">
        <f>177362.1+13231.48+1949.23+13.5+47.5</f>
        <v>192603.81000000003</v>
      </c>
      <c r="F65" s="4">
        <f>91254.16+32.56+10.1</f>
        <v>91296.82</v>
      </c>
      <c r="G65" s="18">
        <f t="shared" si="1"/>
        <v>47.4013572213343</v>
      </c>
      <c r="H65" s="6">
        <f t="shared" si="2"/>
        <v>644114.55</v>
      </c>
      <c r="I65" s="6">
        <f t="shared" si="3"/>
        <v>133508.6</v>
      </c>
      <c r="J65" s="18">
        <f t="shared" si="4"/>
        <v>20.727462219258978</v>
      </c>
    </row>
    <row r="66" spans="1:10" ht="15">
      <c r="A66" s="2" t="s">
        <v>70</v>
      </c>
      <c r="B66" s="4">
        <f>1013897.76+1262.43+29096.72+844.86-7292.64</f>
        <v>1037809.13</v>
      </c>
      <c r="C66" s="4">
        <v>47691.33</v>
      </c>
      <c r="D66" s="18">
        <f t="shared" si="0"/>
        <v>4.595385473242079</v>
      </c>
      <c r="E66" s="4">
        <f>188472.74+48311.94+37009.51+0.68+4.08+529.54+78.74+19.39-153.76-220.81</f>
        <v>274052.05</v>
      </c>
      <c r="F66" s="4">
        <f>19381.39+21423.37+6095.81</f>
        <v>46900.56999999999</v>
      </c>
      <c r="G66" s="18">
        <f t="shared" si="1"/>
        <v>17.113745363335177</v>
      </c>
      <c r="H66" s="6">
        <f t="shared" si="2"/>
        <v>1311861.18</v>
      </c>
      <c r="I66" s="6">
        <f t="shared" si="3"/>
        <v>94591.9</v>
      </c>
      <c r="J66" s="18">
        <f t="shared" si="4"/>
        <v>7.210511404872884</v>
      </c>
    </row>
    <row r="67" spans="1:10" ht="15">
      <c r="A67" s="2" t="s">
        <v>71</v>
      </c>
      <c r="B67" s="4">
        <f>684771.88+90.04+58.59+1.94-2161.67</f>
        <v>682760.7799999999</v>
      </c>
      <c r="C67" s="4">
        <v>15151.32</v>
      </c>
      <c r="D67" s="18">
        <f t="shared" si="0"/>
        <v>2.2191257090074803</v>
      </c>
      <c r="E67" s="4">
        <f>47347.28+22763.86+13632.4+35.84+44.9-247.3</f>
        <v>83576.97999999998</v>
      </c>
      <c r="F67" s="4">
        <f>1360.4+230.36</f>
        <v>1590.7600000000002</v>
      </c>
      <c r="G67" s="18">
        <f t="shared" si="1"/>
        <v>1.9033470699707031</v>
      </c>
      <c r="H67" s="6">
        <f t="shared" si="2"/>
        <v>766337.7599999999</v>
      </c>
      <c r="I67" s="6">
        <f t="shared" si="3"/>
        <v>16742.08</v>
      </c>
      <c r="J67" s="18">
        <f t="shared" si="4"/>
        <v>2.184686814858243</v>
      </c>
    </row>
    <row r="68" spans="1:10" ht="15">
      <c r="A68" s="2" t="s">
        <v>72</v>
      </c>
      <c r="B68" s="4">
        <f>2855165.96+6151.75+1054.45+244.46+3519.7-10825.24</f>
        <v>2855311.08</v>
      </c>
      <c r="C68" s="4">
        <v>77373.43</v>
      </c>
      <c r="D68" s="18">
        <f t="shared" si="0"/>
        <v>2.7098073671188216</v>
      </c>
      <c r="E68" s="4">
        <f>762757.44+290476.06+112329.79+3214.17+9.76+96+663.91+846.58+1816.98+252.26-69.57-664.09</f>
        <v>1171729.2899999998</v>
      </c>
      <c r="F68" s="4">
        <f>13938.92+1705.14+304.25</f>
        <v>15948.31</v>
      </c>
      <c r="G68" s="18">
        <f t="shared" si="1"/>
        <v>1.3610916903852426</v>
      </c>
      <c r="H68" s="6">
        <f t="shared" si="2"/>
        <v>4027040.37</v>
      </c>
      <c r="I68" s="6">
        <f t="shared" si="3"/>
        <v>93321.73999999999</v>
      </c>
      <c r="J68" s="18">
        <f t="shared" si="4"/>
        <v>2.3173778116358936</v>
      </c>
    </row>
    <row r="69" spans="1:10" ht="15">
      <c r="A69" s="2" t="s">
        <v>73</v>
      </c>
      <c r="B69" s="4">
        <f>545439.16+194.71-4170.36+660.63</f>
        <v>542124.14</v>
      </c>
      <c r="C69" s="4">
        <v>37580.03</v>
      </c>
      <c r="D69" s="18">
        <f t="shared" si="0"/>
        <v>6.931997162126002</v>
      </c>
      <c r="E69" s="4">
        <f>165019.31+10932.73+10208.23+20.54+0.11-27137.26</f>
        <v>159043.66</v>
      </c>
      <c r="F69" s="4">
        <f>4433.94+283.43+68.46+3796+260.33</f>
        <v>8842.16</v>
      </c>
      <c r="G69" s="18">
        <f t="shared" si="1"/>
        <v>5.559580306439125</v>
      </c>
      <c r="H69" s="6">
        <f t="shared" si="2"/>
        <v>701167.8</v>
      </c>
      <c r="I69" s="6">
        <f t="shared" si="3"/>
        <v>46422.19</v>
      </c>
      <c r="J69" s="18">
        <f t="shared" si="4"/>
        <v>6.620696215656224</v>
      </c>
    </row>
    <row r="70" spans="1:10" ht="15">
      <c r="A70" s="2" t="s">
        <v>74</v>
      </c>
      <c r="B70" s="4">
        <f>226322.62+45.02+21719.99+68.56-2701.29</f>
        <v>245454.89999999997</v>
      </c>
      <c r="C70" s="4">
        <f>12740.45+12.2</f>
        <v>12752.650000000001</v>
      </c>
      <c r="D70" s="18">
        <f t="shared" si="0"/>
        <v>5.195516569439031</v>
      </c>
      <c r="E70" s="4">
        <f>41766.53+2770.48+2827.83+14.25+26.88+61.7-69.74-6.9</f>
        <v>47391.03</v>
      </c>
      <c r="F70" s="4">
        <f>866.02+83.19</f>
        <v>949.21</v>
      </c>
      <c r="G70" s="18">
        <f t="shared" si="1"/>
        <v>2.0029317784399288</v>
      </c>
      <c r="H70" s="6">
        <f t="shared" si="2"/>
        <v>292845.92999999993</v>
      </c>
      <c r="I70" s="6">
        <f t="shared" si="3"/>
        <v>13701.86</v>
      </c>
      <c r="J70" s="18">
        <f t="shared" si="4"/>
        <v>4.678863045834376</v>
      </c>
    </row>
    <row r="71" spans="1:10" ht="15">
      <c r="A71" s="2" t="s">
        <v>75</v>
      </c>
      <c r="B71" s="4">
        <f>246282.93+26.72+39842+236.44-2089.16</f>
        <v>284298.93000000005</v>
      </c>
      <c r="C71" s="4">
        <v>42738.52</v>
      </c>
      <c r="D71" s="18">
        <f aca="true" t="shared" si="5" ref="D71:D125">C71/B71*100</f>
        <v>15.032951407871986</v>
      </c>
      <c r="E71" s="4">
        <f>147875.18+327.76+2038.05-211.5</f>
        <v>150029.49</v>
      </c>
      <c r="F71" s="4">
        <f>54657.05+11.5+171.81</f>
        <v>54840.36</v>
      </c>
      <c r="G71" s="18">
        <f aca="true" t="shared" si="6" ref="G71:G125">F71/E71*100</f>
        <v>36.55305366964855</v>
      </c>
      <c r="H71" s="6">
        <f aca="true" t="shared" si="7" ref="H71:H125">B71+E71</f>
        <v>434328.42000000004</v>
      </c>
      <c r="I71" s="6">
        <f aca="true" t="shared" si="8" ref="I71:I125">C71+F71</f>
        <v>97578.88</v>
      </c>
      <c r="J71" s="18">
        <f aca="true" t="shared" si="9" ref="J71:J125">I71/H71*100</f>
        <v>22.466611786537015</v>
      </c>
    </row>
    <row r="72" spans="1:10" ht="15">
      <c r="A72" s="2" t="s">
        <v>76</v>
      </c>
      <c r="B72" s="4">
        <f>461110.27+101540+2961.55-14033.79</f>
        <v>551578.03</v>
      </c>
      <c r="C72" s="4">
        <v>40113.95</v>
      </c>
      <c r="D72" s="18">
        <f t="shared" si="5"/>
        <v>7.2725793665132015</v>
      </c>
      <c r="E72" s="4">
        <f>201047.85+40166+13520.41+341.85</f>
        <v>255076.11000000002</v>
      </c>
      <c r="F72" s="4">
        <f>96944.62+654.95+1569.97</f>
        <v>99169.54</v>
      </c>
      <c r="G72" s="18">
        <f t="shared" si="6"/>
        <v>38.87841162388747</v>
      </c>
      <c r="H72" s="6">
        <f t="shared" si="7"/>
        <v>806654.14</v>
      </c>
      <c r="I72" s="6">
        <f t="shared" si="8"/>
        <v>139283.49</v>
      </c>
      <c r="J72" s="18">
        <f t="shared" si="9"/>
        <v>17.266816482216278</v>
      </c>
    </row>
    <row r="73" spans="1:10" ht="15">
      <c r="A73" s="2" t="s">
        <v>77</v>
      </c>
      <c r="B73" s="15">
        <f>400423.56-1928.82+80.52</f>
        <v>398575.26</v>
      </c>
      <c r="C73" s="15">
        <v>8884.41</v>
      </c>
      <c r="D73" s="18">
        <f t="shared" si="5"/>
        <v>2.229042013295055</v>
      </c>
      <c r="E73" s="15">
        <f>56506.19+26218.23+6023.44+10.83+0.64</f>
        <v>88759.33</v>
      </c>
      <c r="F73" s="15">
        <f>0.31</f>
        <v>0.31</v>
      </c>
      <c r="G73" s="18">
        <f t="shared" si="6"/>
        <v>0.00034925905817450404</v>
      </c>
      <c r="H73" s="6">
        <f t="shared" si="7"/>
        <v>487334.59</v>
      </c>
      <c r="I73" s="6">
        <f t="shared" si="8"/>
        <v>8884.72</v>
      </c>
      <c r="J73" s="18">
        <f t="shared" si="9"/>
        <v>1.8231252577412982</v>
      </c>
    </row>
    <row r="74" spans="1:10" ht="15">
      <c r="A74" s="2" t="s">
        <v>78</v>
      </c>
      <c r="B74" s="4">
        <f>931310.1+60.15+35.57+1103.74-3596.08</f>
        <v>928913.48</v>
      </c>
      <c r="C74" s="4">
        <v>21404.65</v>
      </c>
      <c r="D74" s="18">
        <f t="shared" si="5"/>
        <v>2.30426734683622</v>
      </c>
      <c r="E74" s="4">
        <f>73301.09+17865.49+16439.89+3.82+58.63+8.06+551.67+345.2+119.71-617.54-80.9</f>
        <v>107995.12000000002</v>
      </c>
      <c r="F74" s="4">
        <f>1064.08+276.49+0.04</f>
        <v>1340.61</v>
      </c>
      <c r="G74" s="18">
        <f t="shared" si="6"/>
        <v>1.2413616467114437</v>
      </c>
      <c r="H74" s="6">
        <f t="shared" si="7"/>
        <v>1036908.6</v>
      </c>
      <c r="I74" s="6">
        <f t="shared" si="8"/>
        <v>22745.260000000002</v>
      </c>
      <c r="J74" s="18">
        <f t="shared" si="9"/>
        <v>2.1935646015473305</v>
      </c>
    </row>
    <row r="75" spans="1:10" ht="15">
      <c r="A75" s="2" t="s">
        <v>79</v>
      </c>
      <c r="B75" s="4">
        <f>543267.7+21674.6+10.44-1117.06</f>
        <v>563835.6799999998</v>
      </c>
      <c r="C75" s="4">
        <v>5910.18</v>
      </c>
      <c r="D75" s="18">
        <f t="shared" si="5"/>
        <v>1.0482096485983297</v>
      </c>
      <c r="E75" s="4">
        <f>258649.13+116257.84+17067.72+1668.24+6.18</f>
        <v>393649.1099999999</v>
      </c>
      <c r="F75" s="4">
        <f>81.68-2.85-13.97</f>
        <v>64.86000000000001</v>
      </c>
      <c r="G75" s="18">
        <f t="shared" si="6"/>
        <v>0.016476602728760146</v>
      </c>
      <c r="H75" s="6">
        <f t="shared" si="7"/>
        <v>957484.7899999998</v>
      </c>
      <c r="I75" s="6">
        <f t="shared" si="8"/>
        <v>5975.04</v>
      </c>
      <c r="J75" s="18">
        <f t="shared" si="9"/>
        <v>0.6240349781430994</v>
      </c>
    </row>
    <row r="76" spans="1:10" ht="15">
      <c r="A76" s="2" t="s">
        <v>80</v>
      </c>
      <c r="B76" s="4">
        <f>1394216.35+211.55+303.98+219.04-4658.7</f>
        <v>1390292.2200000002</v>
      </c>
      <c r="C76" s="4">
        <v>23701.16</v>
      </c>
      <c r="D76" s="18">
        <f t="shared" si="5"/>
        <v>1.704761032180702</v>
      </c>
      <c r="E76" s="4">
        <f>301356.95+689567.29+169256.46+1798.55+46.38+17.33-2707.11</f>
        <v>1159335.8499999999</v>
      </c>
      <c r="F76" s="4">
        <f>3250.25+15547.58+603.35</f>
        <v>19401.18</v>
      </c>
      <c r="G76" s="18">
        <f t="shared" si="6"/>
        <v>1.67347365304023</v>
      </c>
      <c r="H76" s="6">
        <f t="shared" si="7"/>
        <v>2549628.0700000003</v>
      </c>
      <c r="I76" s="6">
        <f t="shared" si="8"/>
        <v>43102.34</v>
      </c>
      <c r="J76" s="18">
        <f t="shared" si="9"/>
        <v>1.6905344158687423</v>
      </c>
    </row>
    <row r="77" spans="1:10" ht="15">
      <c r="A77" s="2" t="s">
        <v>81</v>
      </c>
      <c r="B77" s="4">
        <f>744567.3+292.31+198.32-4427.56</f>
        <v>740630.37</v>
      </c>
      <c r="C77" s="4">
        <v>10947.34</v>
      </c>
      <c r="D77" s="18">
        <f t="shared" si="5"/>
        <v>1.478111139298811</v>
      </c>
      <c r="E77" s="4">
        <f>55379.01+7247.97+7310.21+502.87+20.19-15</f>
        <v>70445.25</v>
      </c>
      <c r="F77" s="4">
        <f>470.65+21</f>
        <v>491.65</v>
      </c>
      <c r="G77" s="18">
        <f t="shared" si="6"/>
        <v>0.6979178865856818</v>
      </c>
      <c r="H77" s="6">
        <f t="shared" si="7"/>
        <v>811075.62</v>
      </c>
      <c r="I77" s="6">
        <f t="shared" si="8"/>
        <v>11438.99</v>
      </c>
      <c r="J77" s="18">
        <f t="shared" si="9"/>
        <v>1.4103481497816441</v>
      </c>
    </row>
    <row r="78" spans="1:10" ht="15">
      <c r="A78" s="2" t="s">
        <v>82</v>
      </c>
      <c r="B78" s="4">
        <f>5328782.22+3002.42+1076.23+896.11-8819.48</f>
        <v>5324937.5</v>
      </c>
      <c r="C78" s="4">
        <v>92953.43</v>
      </c>
      <c r="D78" s="18">
        <f t="shared" si="5"/>
        <v>1.7456248078029084</v>
      </c>
      <c r="E78" s="22">
        <f>746160.53+736561.04+153276.44+513.3+881.35+823.37+18.77+23.81-443.61-157.13-31.55-8.25</f>
        <v>1637618.0700000003</v>
      </c>
      <c r="F78" s="4">
        <f>12344.66+66.82+1874.26</f>
        <v>14285.74</v>
      </c>
      <c r="G78" s="18">
        <f t="shared" si="6"/>
        <v>0.8723487033823458</v>
      </c>
      <c r="H78" s="6">
        <f t="shared" si="7"/>
        <v>6962555.57</v>
      </c>
      <c r="I78" s="6">
        <f t="shared" si="8"/>
        <v>107239.17</v>
      </c>
      <c r="J78" s="18">
        <f t="shared" si="9"/>
        <v>1.5402271324349373</v>
      </c>
    </row>
    <row r="79" spans="1:10" ht="15">
      <c r="A79" s="23" t="s">
        <v>83</v>
      </c>
      <c r="B79" s="4">
        <f>239626.07+10830.98-2058.53</f>
        <v>248398.52000000002</v>
      </c>
      <c r="C79" s="4">
        <v>18121.8</v>
      </c>
      <c r="D79" s="18">
        <f t="shared" si="5"/>
        <v>7.295454095298151</v>
      </c>
      <c r="E79" s="4">
        <f>98707.84+3710.81+4316.82+0.54</f>
        <v>106736.01</v>
      </c>
      <c r="F79" s="4">
        <f>2779.84+3447.73+1606.02</f>
        <v>7833.59</v>
      </c>
      <c r="G79" s="18">
        <f t="shared" si="6"/>
        <v>7.339219444309377</v>
      </c>
      <c r="H79" s="6">
        <f t="shared" si="7"/>
        <v>355134.53</v>
      </c>
      <c r="I79" s="6">
        <f t="shared" si="8"/>
        <v>25955.39</v>
      </c>
      <c r="J79" s="18">
        <f t="shared" si="9"/>
        <v>7.308607811242686</v>
      </c>
    </row>
    <row r="80" spans="1:10" ht="15">
      <c r="A80" s="2" t="s">
        <v>84</v>
      </c>
      <c r="B80" s="4">
        <f>1099089.04+359.53+104.72-1700.92+2212.5</f>
        <v>1100064.87</v>
      </c>
      <c r="C80" s="4">
        <v>9898.43</v>
      </c>
      <c r="D80" s="18">
        <f t="shared" si="5"/>
        <v>0.8998042088190671</v>
      </c>
      <c r="E80" s="4">
        <f>228379.06+452355.64+55331.22+48.15+91.14+1.13+33.62+157.13-5673.08-588.78</f>
        <v>730135.23</v>
      </c>
      <c r="F80" s="4">
        <f>376.49+0.48+28.75+3.51</f>
        <v>409.23</v>
      </c>
      <c r="G80" s="18">
        <f t="shared" si="6"/>
        <v>0.05604852131296281</v>
      </c>
      <c r="H80" s="6">
        <f t="shared" si="7"/>
        <v>1830200.1</v>
      </c>
      <c r="I80" s="6">
        <f t="shared" si="8"/>
        <v>10307.66</v>
      </c>
      <c r="J80" s="18">
        <f t="shared" si="9"/>
        <v>0.563198526762183</v>
      </c>
    </row>
    <row r="81" spans="1:10" ht="15">
      <c r="A81" s="2" t="s">
        <v>85</v>
      </c>
      <c r="B81" s="4">
        <f>2241136.39+547.59+49.04+1105.15-14346.95</f>
        <v>2228491.2199999997</v>
      </c>
      <c r="C81" s="4">
        <v>26560.65</v>
      </c>
      <c r="D81" s="18">
        <f t="shared" si="5"/>
        <v>1.191866934974956</v>
      </c>
      <c r="E81" s="4">
        <f>646174.39+1824403.91+108281.15+1208.61+28.44+2.25+83.67+1.81-4226.11-1205</f>
        <v>2574753.1199999996</v>
      </c>
      <c r="F81" s="4">
        <f>912.46+5.66+7.05</f>
        <v>925.17</v>
      </c>
      <c r="G81" s="18">
        <f t="shared" si="6"/>
        <v>0.035932377081652006</v>
      </c>
      <c r="H81" s="6">
        <f t="shared" si="7"/>
        <v>4803244.34</v>
      </c>
      <c r="I81" s="6">
        <f t="shared" si="8"/>
        <v>27485.82</v>
      </c>
      <c r="J81" s="18">
        <f t="shared" si="9"/>
        <v>0.572234474334487</v>
      </c>
    </row>
    <row r="82" spans="1:10" ht="15">
      <c r="A82" s="23" t="s">
        <v>86</v>
      </c>
      <c r="B82" s="4">
        <v>302851</v>
      </c>
      <c r="C82" s="4">
        <v>25437</v>
      </c>
      <c r="D82" s="18">
        <f t="shared" si="5"/>
        <v>8.399179794684516</v>
      </c>
      <c r="E82" s="4">
        <v>309568</v>
      </c>
      <c r="F82" s="4">
        <v>155557</v>
      </c>
      <c r="G82" s="18">
        <f t="shared" si="6"/>
        <v>50.24970281166012</v>
      </c>
      <c r="H82" s="6">
        <f t="shared" si="7"/>
        <v>612419</v>
      </c>
      <c r="I82" s="6">
        <f t="shared" si="8"/>
        <v>180994</v>
      </c>
      <c r="J82" s="18">
        <f t="shared" si="9"/>
        <v>29.55394917531951</v>
      </c>
    </row>
    <row r="83" spans="1:10" ht="15">
      <c r="A83" s="2" t="s">
        <v>87</v>
      </c>
      <c r="B83" s="15">
        <f>905670.99+4170.35+2254.25-4636.22</f>
        <v>907459.37</v>
      </c>
      <c r="C83" s="15">
        <v>9096.03</v>
      </c>
      <c r="D83" s="18">
        <f t="shared" si="5"/>
        <v>1.0023622324821002</v>
      </c>
      <c r="E83" s="15">
        <f>381327.88+265433.35+46802.2+4167.9+33.63</f>
        <v>697764.96</v>
      </c>
      <c r="F83" s="15">
        <f>187.26+7.33</f>
        <v>194.59</v>
      </c>
      <c r="G83" s="18">
        <f t="shared" si="6"/>
        <v>0.027887614190314176</v>
      </c>
      <c r="H83" s="6">
        <f t="shared" si="7"/>
        <v>1605224.33</v>
      </c>
      <c r="I83" s="6">
        <f t="shared" si="8"/>
        <v>9290.62</v>
      </c>
      <c r="J83" s="18">
        <f t="shared" si="9"/>
        <v>0.5787739337342339</v>
      </c>
    </row>
    <row r="84" spans="1:10" ht="15">
      <c r="A84" s="2" t="s">
        <v>88</v>
      </c>
      <c r="B84" s="4">
        <f>4541880.63+1686.14+351.85+10207.15-28877.04</f>
        <v>4525248.7299999995</v>
      </c>
      <c r="C84" s="4">
        <f>108414.95</f>
        <v>108414.95</v>
      </c>
      <c r="D84" s="18">
        <f t="shared" si="5"/>
        <v>2.395778806174042</v>
      </c>
      <c r="E84" s="21">
        <f>1067028.51+109716.96+205329.64+3952.61+44.12+207.36+39.05+2356.57+634.16-2858.9-4834.31</f>
        <v>1381615.7700000003</v>
      </c>
      <c r="F84" s="4">
        <f>14918.45+1146.63+5037.7</f>
        <v>21102.780000000002</v>
      </c>
      <c r="G84" s="18">
        <f t="shared" si="6"/>
        <v>1.5273986051852895</v>
      </c>
      <c r="H84" s="6">
        <f t="shared" si="7"/>
        <v>5906864.5</v>
      </c>
      <c r="I84" s="6">
        <f t="shared" si="8"/>
        <v>129517.73</v>
      </c>
      <c r="J84" s="18">
        <f t="shared" si="9"/>
        <v>2.192664653133655</v>
      </c>
    </row>
    <row r="85" spans="1:10" ht="15">
      <c r="A85" s="2" t="s">
        <v>89</v>
      </c>
      <c r="B85" s="4">
        <f>427952.96+304.88+1267.06+147.01-2280.3</f>
        <v>427391.61000000004</v>
      </c>
      <c r="C85" s="4">
        <v>24130.95</v>
      </c>
      <c r="D85" s="18">
        <f t="shared" si="5"/>
        <v>5.646098200196302</v>
      </c>
      <c r="E85" s="4">
        <f>33986.97+8579.56+8410.46+2.1+15.04+141.83</f>
        <v>51135.96</v>
      </c>
      <c r="F85" s="4">
        <f>149.11+0.65+9.04</f>
        <v>158.8</v>
      </c>
      <c r="G85" s="18">
        <f t="shared" si="6"/>
        <v>0.3105446734548447</v>
      </c>
      <c r="H85" s="6">
        <f t="shared" si="7"/>
        <v>478527.57000000007</v>
      </c>
      <c r="I85" s="6">
        <f t="shared" si="8"/>
        <v>24289.75</v>
      </c>
      <c r="J85" s="18">
        <f t="shared" si="9"/>
        <v>5.075935332210848</v>
      </c>
    </row>
    <row r="86" spans="1:10" ht="15">
      <c r="A86" s="23" t="s">
        <v>90</v>
      </c>
      <c r="B86" s="4">
        <f>462269.73+36.6+3428.67+165.81-3544.72</f>
        <v>462356.08999999997</v>
      </c>
      <c r="C86" s="4">
        <v>3505.15</v>
      </c>
      <c r="D86" s="18">
        <f t="shared" si="5"/>
        <v>0.758106160124332</v>
      </c>
      <c r="E86" s="4">
        <f>142013.72+27949.1+11224.39+2171.88+234.51-139.68-25.76</f>
        <v>183428.16000000003</v>
      </c>
      <c r="F86" s="4">
        <f>230.97+0.61</f>
        <v>231.58</v>
      </c>
      <c r="G86" s="18">
        <f t="shared" si="6"/>
        <v>0.1262510619961515</v>
      </c>
      <c r="H86" s="6">
        <f t="shared" si="7"/>
        <v>645784.25</v>
      </c>
      <c r="I86" s="6">
        <f t="shared" si="8"/>
        <v>3736.73</v>
      </c>
      <c r="J86" s="18">
        <f t="shared" si="9"/>
        <v>0.5786344278294182</v>
      </c>
    </row>
    <row r="87" spans="1:10" ht="15">
      <c r="A87" s="2" t="s">
        <v>91</v>
      </c>
      <c r="B87" s="4">
        <f>1432522.61+45.02+12712.79+30.5-2451.59</f>
        <v>1442859.33</v>
      </c>
      <c r="C87" s="4">
        <f>18637.51+58</f>
        <v>18695.51</v>
      </c>
      <c r="D87" s="18">
        <f t="shared" si="5"/>
        <v>1.2957264517255467</v>
      </c>
      <c r="E87" s="4">
        <f>204330.06+64486.31+24083.1+160.15-5136.9</f>
        <v>287922.72</v>
      </c>
      <c r="F87" s="4">
        <f>2819.03+25.67</f>
        <v>2844.7000000000003</v>
      </c>
      <c r="G87" s="18">
        <f t="shared" si="6"/>
        <v>0.9880081710814627</v>
      </c>
      <c r="H87" s="6">
        <f t="shared" si="7"/>
        <v>1730782.05</v>
      </c>
      <c r="I87" s="6">
        <f t="shared" si="8"/>
        <v>21540.21</v>
      </c>
      <c r="J87" s="18">
        <f t="shared" si="9"/>
        <v>1.2445362488015173</v>
      </c>
    </row>
    <row r="88" spans="1:10" ht="15">
      <c r="A88" s="2" t="s">
        <v>92</v>
      </c>
      <c r="B88" s="4">
        <f>162181.5+45.02-1937.22+284.17</f>
        <v>160573.47</v>
      </c>
      <c r="C88" s="4">
        <v>10283.01</v>
      </c>
      <c r="D88" s="18">
        <f t="shared" si="5"/>
        <v>6.403928369985403</v>
      </c>
      <c r="E88" s="4">
        <f>11870.58+4621.48+3607.17-375.86</f>
        <v>19723.369999999995</v>
      </c>
      <c r="F88" s="4">
        <f>702.09+3234.51+519.52</f>
        <v>4456.120000000001</v>
      </c>
      <c r="G88" s="18">
        <f t="shared" si="6"/>
        <v>22.59309641303693</v>
      </c>
      <c r="H88" s="6">
        <f t="shared" si="7"/>
        <v>180296.84</v>
      </c>
      <c r="I88" s="6">
        <f t="shared" si="8"/>
        <v>14739.130000000001</v>
      </c>
      <c r="J88" s="18">
        <f t="shared" si="9"/>
        <v>8.174924197229414</v>
      </c>
    </row>
    <row r="89" spans="1:10" ht="15">
      <c r="A89" s="2" t="s">
        <v>93</v>
      </c>
      <c r="B89" s="15">
        <f>1488673.86+622.43+203.74+619.71-3366.59</f>
        <v>1486753.15</v>
      </c>
      <c r="C89" s="15">
        <v>25826.78</v>
      </c>
      <c r="D89" s="18">
        <f t="shared" si="5"/>
        <v>1.7371263010271747</v>
      </c>
      <c r="E89" s="15">
        <f>206990.89+804980.23+24195.86+61.9+2414.3+48.72+132.59+73.6-36.16</f>
        <v>1038861.9299999999</v>
      </c>
      <c r="F89" s="15">
        <f>539.68+83.23</f>
        <v>622.91</v>
      </c>
      <c r="G89" s="18">
        <f t="shared" si="6"/>
        <v>0.05996080730381563</v>
      </c>
      <c r="H89" s="6">
        <f t="shared" si="7"/>
        <v>2525615.08</v>
      </c>
      <c r="I89" s="6">
        <f t="shared" si="8"/>
        <v>26449.69</v>
      </c>
      <c r="J89" s="18">
        <f t="shared" si="9"/>
        <v>1.0472573675003556</v>
      </c>
    </row>
    <row r="90" spans="1:10" ht="15">
      <c r="A90" s="2" t="s">
        <v>94</v>
      </c>
      <c r="B90" s="4">
        <f>333272.33+45.02+796.68+74.42-2358.68</f>
        <v>331829.77</v>
      </c>
      <c r="C90" s="4">
        <v>11323.86</v>
      </c>
      <c r="D90" s="18">
        <f t="shared" si="5"/>
        <v>3.4125509594874504</v>
      </c>
      <c r="E90" s="4">
        <f>46384.9+104780.46+16162.53+1.2+7.92</f>
        <v>167337.01000000004</v>
      </c>
      <c r="F90" s="4">
        <f>380.93+11.63</f>
        <v>392.56</v>
      </c>
      <c r="G90" s="18">
        <f t="shared" si="6"/>
        <v>0.23459245507016047</v>
      </c>
      <c r="H90" s="6">
        <f t="shared" si="7"/>
        <v>499166.78</v>
      </c>
      <c r="I90" s="6">
        <f t="shared" si="8"/>
        <v>11716.42</v>
      </c>
      <c r="J90" s="18">
        <f t="shared" si="9"/>
        <v>2.347195460403034</v>
      </c>
    </row>
    <row r="91" spans="1:10" ht="15">
      <c r="A91" s="23" t="s">
        <v>95</v>
      </c>
      <c r="B91" s="4">
        <f>361319.19+967.89+19.21-875.96</f>
        <v>361430.33</v>
      </c>
      <c r="C91" s="4">
        <f>9627.14</f>
        <v>9627.14</v>
      </c>
      <c r="D91" s="18">
        <f t="shared" si="5"/>
        <v>2.6636226129666536</v>
      </c>
      <c r="E91" s="4">
        <f>63426.55+27682.14+17533.42+2.75+9.74-81.19</f>
        <v>108573.41</v>
      </c>
      <c r="F91" s="4">
        <f>1564.72+110.94</f>
        <v>1675.66</v>
      </c>
      <c r="G91" s="18">
        <f t="shared" si="6"/>
        <v>1.543342886623898</v>
      </c>
      <c r="H91" s="6">
        <f t="shared" si="7"/>
        <v>470003.74</v>
      </c>
      <c r="I91" s="6">
        <f t="shared" si="8"/>
        <v>11302.8</v>
      </c>
      <c r="J91" s="18">
        <f t="shared" si="9"/>
        <v>2.4048319275076406</v>
      </c>
    </row>
    <row r="92" spans="1:10" ht="15">
      <c r="A92" s="2" t="s">
        <v>96</v>
      </c>
      <c r="B92" s="4">
        <f>1441921.28+195.82+521.47+2904-26930.77</f>
        <v>1418611.8</v>
      </c>
      <c r="C92" s="4">
        <v>26439.13</v>
      </c>
      <c r="D92" s="18">
        <f t="shared" si="5"/>
        <v>1.8637325588296954</v>
      </c>
      <c r="E92" s="4">
        <f>265429.33+240176.79+50910.06+407.72+4.71+134.19+11725.08-1029.65</f>
        <v>567758.2299999997</v>
      </c>
      <c r="F92" s="4">
        <f>10452.12+40.34+107.26</f>
        <v>10599.720000000001</v>
      </c>
      <c r="G92" s="18">
        <f t="shared" si="6"/>
        <v>1.8669425540515734</v>
      </c>
      <c r="H92" s="6">
        <f t="shared" si="7"/>
        <v>1986370.0299999998</v>
      </c>
      <c r="I92" s="6">
        <f t="shared" si="8"/>
        <v>37038.850000000006</v>
      </c>
      <c r="J92" s="18">
        <f t="shared" si="9"/>
        <v>1.864650062204171</v>
      </c>
    </row>
    <row r="93" spans="1:10" ht="15">
      <c r="A93" s="2" t="s">
        <v>97</v>
      </c>
      <c r="B93" s="4">
        <f>324920.49+763.76+48.8-3042.62</f>
        <v>322690.43</v>
      </c>
      <c r="C93" s="4">
        <v>16048.14</v>
      </c>
      <c r="D93" s="18">
        <f t="shared" si="5"/>
        <v>4.973230845426683</v>
      </c>
      <c r="E93" s="4">
        <f>70698.65+6528.63+8329.28+29.17+15.58-1.24</f>
        <v>85600.06999999999</v>
      </c>
      <c r="F93" s="4">
        <f>1478.42+1245.62+3195</f>
        <v>5919.04</v>
      </c>
      <c r="G93" s="18">
        <f t="shared" si="6"/>
        <v>6.914760700546156</v>
      </c>
      <c r="H93" s="6">
        <f t="shared" si="7"/>
        <v>408290.5</v>
      </c>
      <c r="I93" s="6">
        <f t="shared" si="8"/>
        <v>21967.18</v>
      </c>
      <c r="J93" s="18">
        <f t="shared" si="9"/>
        <v>5.380281931614867</v>
      </c>
    </row>
    <row r="94" spans="1:10" ht="15">
      <c r="A94" s="2" t="s">
        <v>98</v>
      </c>
      <c r="B94" s="4">
        <f>1166287.63+9444.38+349.04-8620.02</f>
        <v>1167461.0299999998</v>
      </c>
      <c r="C94" s="4">
        <v>29340.02</v>
      </c>
      <c r="D94" s="18">
        <f t="shared" si="5"/>
        <v>2.51314769795785</v>
      </c>
      <c r="E94" s="4">
        <f>399582.56+91427.03+76886.83+81.76+242.53+1.4-1365.07-27.41</f>
        <v>566829.63</v>
      </c>
      <c r="F94" s="4">
        <f>4037.44+36.49+116.43</f>
        <v>4190.36</v>
      </c>
      <c r="G94" s="18">
        <f t="shared" si="6"/>
        <v>0.7392626952123161</v>
      </c>
      <c r="H94" s="6">
        <f t="shared" si="7"/>
        <v>1734290.6599999997</v>
      </c>
      <c r="I94" s="6">
        <f t="shared" si="8"/>
        <v>33530.38</v>
      </c>
      <c r="J94" s="18">
        <f t="shared" si="9"/>
        <v>1.9333771883428121</v>
      </c>
    </row>
    <row r="95" spans="1:10" ht="15">
      <c r="A95" s="23" t="s">
        <v>99</v>
      </c>
      <c r="B95" s="15">
        <f>3086151.47+15257.25+1564.44+1833.52+343.37-11273.67</f>
        <v>3093876.3800000004</v>
      </c>
      <c r="C95" s="15">
        <v>31482.99</v>
      </c>
      <c r="D95" s="18">
        <f t="shared" si="5"/>
        <v>1.0175904313280932</v>
      </c>
      <c r="E95" s="15">
        <f>385205.2+354081.66+67640.34+312.84+4.82+1.35+305.69+132.09-5073.05-401.19-10.8</f>
        <v>802198.9499999997</v>
      </c>
      <c r="F95" s="15">
        <f>5422.68+33.8</f>
        <v>5456.4800000000005</v>
      </c>
      <c r="G95" s="18">
        <f t="shared" si="6"/>
        <v>0.6801903692344651</v>
      </c>
      <c r="H95" s="6">
        <f t="shared" si="7"/>
        <v>3896075.33</v>
      </c>
      <c r="I95" s="6">
        <f t="shared" si="8"/>
        <v>36939.47</v>
      </c>
      <c r="J95" s="18">
        <f t="shared" si="9"/>
        <v>0.9481200149176787</v>
      </c>
    </row>
    <row r="96" spans="1:10" ht="15">
      <c r="A96" s="2" t="s">
        <v>100</v>
      </c>
      <c r="B96" s="4">
        <f>267832.68-971.57</f>
        <v>266861.11</v>
      </c>
      <c r="C96" s="4">
        <f>4342.47</f>
        <v>4342.47</v>
      </c>
      <c r="D96" s="18">
        <f t="shared" si="5"/>
        <v>1.6272397278119695</v>
      </c>
      <c r="E96" s="4">
        <f>7526.83+1694.96+1050.62+4.38+0.9+8.6</f>
        <v>10286.289999999999</v>
      </c>
      <c r="F96" s="4">
        <f>27.22+16</f>
        <v>43.22</v>
      </c>
      <c r="G96" s="18">
        <f t="shared" si="6"/>
        <v>0.42017092654397264</v>
      </c>
      <c r="H96" s="6">
        <f t="shared" si="7"/>
        <v>277147.39999999997</v>
      </c>
      <c r="I96" s="6">
        <f t="shared" si="8"/>
        <v>4385.6900000000005</v>
      </c>
      <c r="J96" s="18">
        <f t="shared" si="9"/>
        <v>1.5824395249603644</v>
      </c>
    </row>
    <row r="97" spans="1:10" ht="15">
      <c r="A97" s="23" t="s">
        <v>101</v>
      </c>
      <c r="B97" s="4">
        <f>842270.39+45.02+310.01-4644.17</f>
        <v>837981.25</v>
      </c>
      <c r="C97" s="4">
        <v>17991.59</v>
      </c>
      <c r="D97" s="18">
        <f t="shared" si="5"/>
        <v>2.1470158192680326</v>
      </c>
      <c r="E97" s="4">
        <f>454593.95+176191.84+32586.21+480.65+24.72+381.54-618.05-42.76</f>
        <v>663598.1</v>
      </c>
      <c r="F97" s="4">
        <f>149.61+28.15</f>
        <v>177.76000000000002</v>
      </c>
      <c r="G97" s="18">
        <f t="shared" si="6"/>
        <v>0.026787297914204398</v>
      </c>
      <c r="H97" s="6">
        <f t="shared" si="7"/>
        <v>1501579.35</v>
      </c>
      <c r="I97" s="6">
        <f t="shared" si="8"/>
        <v>18169.35</v>
      </c>
      <c r="J97" s="18">
        <f t="shared" si="9"/>
        <v>1.2100159741807848</v>
      </c>
    </row>
    <row r="98" spans="1:10" ht="15">
      <c r="A98" s="2" t="s">
        <v>102</v>
      </c>
      <c r="B98" s="4">
        <f>6782987.1+45.02+1162.41+3219.82-8712.02</f>
        <v>6778702.33</v>
      </c>
      <c r="C98" s="4">
        <v>37113.63</v>
      </c>
      <c r="D98" s="18">
        <f t="shared" si="5"/>
        <v>0.5475034629526209</v>
      </c>
      <c r="E98" s="4">
        <f>290815.24+103394.87+41562.63+871.71+95.02+2689.69+9.56+8.85-750.13-6.78</f>
        <v>438690.66</v>
      </c>
      <c r="F98" s="4">
        <f>1450.79+743.94+209.21+9.26</f>
        <v>2413.2000000000003</v>
      </c>
      <c r="G98" s="18">
        <f t="shared" si="6"/>
        <v>0.5500914927160747</v>
      </c>
      <c r="H98" s="6">
        <f t="shared" si="7"/>
        <v>7217392.99</v>
      </c>
      <c r="I98" s="6">
        <f t="shared" si="8"/>
        <v>39526.829999999994</v>
      </c>
      <c r="J98" s="18">
        <f t="shared" si="9"/>
        <v>0.5476607696818792</v>
      </c>
    </row>
    <row r="99" spans="1:10" ht="15">
      <c r="A99" s="2" t="s">
        <v>103</v>
      </c>
      <c r="B99" s="4">
        <f>587849.82+131.03+635.15-2007.39</f>
        <v>586608.61</v>
      </c>
      <c r="C99" s="4">
        <v>12252.34</v>
      </c>
      <c r="D99" s="18">
        <f t="shared" si="5"/>
        <v>2.0886737410826615</v>
      </c>
      <c r="E99" s="4">
        <f>56763.59+16264.59+8677.91+33.58+9.87+10.98</f>
        <v>81760.51999999999</v>
      </c>
      <c r="F99" s="4">
        <v>337.5</v>
      </c>
      <c r="G99" s="18">
        <f t="shared" si="6"/>
        <v>0.41279091669182144</v>
      </c>
      <c r="H99" s="6">
        <f t="shared" si="7"/>
        <v>668369.13</v>
      </c>
      <c r="I99" s="6">
        <f t="shared" si="8"/>
        <v>12589.84</v>
      </c>
      <c r="J99" s="18">
        <f t="shared" si="9"/>
        <v>1.8836656923398003</v>
      </c>
    </row>
    <row r="100" spans="1:10" ht="15">
      <c r="A100" s="2" t="s">
        <v>104</v>
      </c>
      <c r="B100" s="4">
        <v>101370</v>
      </c>
      <c r="C100" s="4">
        <v>6558</v>
      </c>
      <c r="D100" s="18">
        <f t="shared" si="5"/>
        <v>6.469369635986978</v>
      </c>
      <c r="E100" s="4">
        <f>8044.1+1858.47+1089.68+0.05</f>
        <v>10992.3</v>
      </c>
      <c r="F100" s="4">
        <f>60.52+0.08</f>
        <v>60.6</v>
      </c>
      <c r="G100" s="18">
        <f t="shared" si="6"/>
        <v>0.551294997407276</v>
      </c>
      <c r="H100" s="6">
        <f t="shared" si="7"/>
        <v>112362.3</v>
      </c>
      <c r="I100" s="6">
        <f t="shared" si="8"/>
        <v>6618.6</v>
      </c>
      <c r="J100" s="18">
        <f t="shared" si="9"/>
        <v>5.890409861670685</v>
      </c>
    </row>
    <row r="101" spans="1:10" ht="15">
      <c r="A101" s="2" t="s">
        <v>105</v>
      </c>
      <c r="B101" s="15">
        <f>632148.99+44.1+4004.71+69.72-1538.33</f>
        <v>634729.19</v>
      </c>
      <c r="C101" s="15">
        <v>8240.8</v>
      </c>
      <c r="D101" s="18">
        <f t="shared" si="5"/>
        <v>1.2983174761507346</v>
      </c>
      <c r="E101" s="15">
        <f>137897.29+109813.51+6629.18+85.98+0.05</f>
        <v>254426.00999999998</v>
      </c>
      <c r="F101" s="15">
        <f>846.9+10.41+6.6</f>
        <v>863.91</v>
      </c>
      <c r="G101" s="18">
        <f t="shared" si="6"/>
        <v>0.3395525481062255</v>
      </c>
      <c r="H101" s="6">
        <f t="shared" si="7"/>
        <v>889155.2</v>
      </c>
      <c r="I101" s="6">
        <f t="shared" si="8"/>
        <v>9104.71</v>
      </c>
      <c r="J101" s="18">
        <f t="shared" si="9"/>
        <v>1.0239730926614388</v>
      </c>
    </row>
    <row r="102" spans="1:10" ht="15">
      <c r="A102" s="2" t="s">
        <v>106</v>
      </c>
      <c r="B102" s="4">
        <v>1042199</v>
      </c>
      <c r="C102" s="4">
        <v>89587</v>
      </c>
      <c r="D102" s="18">
        <f t="shared" si="5"/>
        <v>8.595959121050779</v>
      </c>
      <c r="E102" s="4">
        <v>600917</v>
      </c>
      <c r="F102" s="4">
        <v>69288</v>
      </c>
      <c r="G102" s="18">
        <f t="shared" si="6"/>
        <v>11.53037773935502</v>
      </c>
      <c r="H102" s="6">
        <f t="shared" si="7"/>
        <v>1643116</v>
      </c>
      <c r="I102" s="6">
        <f t="shared" si="8"/>
        <v>158875</v>
      </c>
      <c r="J102" s="18">
        <f t="shared" si="9"/>
        <v>9.669128655554445</v>
      </c>
    </row>
    <row r="103" spans="1:10" ht="15">
      <c r="A103" s="23" t="s">
        <v>107</v>
      </c>
      <c r="B103" s="4">
        <v>2167926</v>
      </c>
      <c r="C103" s="4">
        <v>151731</v>
      </c>
      <c r="D103" s="18">
        <f t="shared" si="5"/>
        <v>6.998901254009593</v>
      </c>
      <c r="E103" s="4">
        <v>1399723</v>
      </c>
      <c r="F103" s="4">
        <v>255757</v>
      </c>
      <c r="G103" s="18">
        <f t="shared" si="6"/>
        <v>18.27197238310723</v>
      </c>
      <c r="H103" s="6">
        <f t="shared" si="7"/>
        <v>3567649</v>
      </c>
      <c r="I103" s="6">
        <f t="shared" si="8"/>
        <v>407488</v>
      </c>
      <c r="J103" s="18">
        <f t="shared" si="9"/>
        <v>11.42175141108332</v>
      </c>
    </row>
    <row r="104" spans="1:10" ht="15">
      <c r="A104" s="2" t="s">
        <v>108</v>
      </c>
      <c r="B104" s="4">
        <f>470051.39+766.45+313.9-2662</f>
        <v>468469.74000000005</v>
      </c>
      <c r="C104" s="4">
        <f>27346.98+4.07</f>
        <v>27351.05</v>
      </c>
      <c r="D104" s="18">
        <f t="shared" si="5"/>
        <v>5.838381364824118</v>
      </c>
      <c r="E104" s="4">
        <f>51329.77+20689.71+9138.89+9.53-5.56-882</f>
        <v>80280.34</v>
      </c>
      <c r="F104" s="4">
        <f>541.46+1</f>
        <v>542.46</v>
      </c>
      <c r="G104" s="18">
        <f t="shared" si="6"/>
        <v>0.6757071532083696</v>
      </c>
      <c r="H104" s="6">
        <f t="shared" si="7"/>
        <v>548750.0800000001</v>
      </c>
      <c r="I104" s="6">
        <f t="shared" si="8"/>
        <v>27893.51</v>
      </c>
      <c r="J104" s="18">
        <f t="shared" si="9"/>
        <v>5.083099031165516</v>
      </c>
    </row>
    <row r="105" spans="1:10" ht="15">
      <c r="A105" s="2" t="s">
        <v>109</v>
      </c>
      <c r="B105" s="4">
        <f>3910622.69+1747.65+735.49+538.02-12675.56</f>
        <v>3900968.29</v>
      </c>
      <c r="C105" s="4">
        <v>63925.51</v>
      </c>
      <c r="D105" s="18">
        <f t="shared" si="5"/>
        <v>1.6387087832492993</v>
      </c>
      <c r="E105" s="4">
        <f>682809.62+1133.16+980.07+381720.95+142460.91+590.7+1646.83+45.93-1512.52-528.13</f>
        <v>1209347.52</v>
      </c>
      <c r="F105" s="4">
        <f>4375.76+383.59+11.7</f>
        <v>4771.05</v>
      </c>
      <c r="G105" s="18">
        <f t="shared" si="6"/>
        <v>0.3945143907021863</v>
      </c>
      <c r="H105" s="6">
        <f t="shared" si="7"/>
        <v>5110315.8100000005</v>
      </c>
      <c r="I105" s="6">
        <f t="shared" si="8"/>
        <v>68696.56</v>
      </c>
      <c r="J105" s="18">
        <f t="shared" si="9"/>
        <v>1.344272302419603</v>
      </c>
    </row>
    <row r="106" spans="1:10" ht="15">
      <c r="A106" s="2" t="s">
        <v>110</v>
      </c>
      <c r="B106" s="4">
        <f>76623.88-6.1</f>
        <v>76617.78</v>
      </c>
      <c r="C106" s="4">
        <v>1415.1</v>
      </c>
      <c r="D106" s="18">
        <f t="shared" si="5"/>
        <v>1.8469603269632713</v>
      </c>
      <c r="E106" s="4">
        <f>2840.5+336.72</f>
        <v>3177.2200000000003</v>
      </c>
      <c r="F106" s="4">
        <v>2.78</v>
      </c>
      <c r="G106" s="18">
        <f t="shared" si="6"/>
        <v>0.08749787550122433</v>
      </c>
      <c r="H106" s="6">
        <f t="shared" si="7"/>
        <v>79795</v>
      </c>
      <c r="I106" s="6">
        <f t="shared" si="8"/>
        <v>1417.8799999999999</v>
      </c>
      <c r="J106" s="18">
        <f t="shared" si="9"/>
        <v>1.7769033147440314</v>
      </c>
    </row>
    <row r="107" spans="1:10" ht="15">
      <c r="A107" s="2" t="s">
        <v>111</v>
      </c>
      <c r="B107" s="4">
        <f>496331.1+12.2+382.88+332.82-2902.69</f>
        <v>494156.31</v>
      </c>
      <c r="C107" s="4">
        <v>19137.84</v>
      </c>
      <c r="D107" s="18">
        <f t="shared" si="5"/>
        <v>3.872831250500474</v>
      </c>
      <c r="E107" s="4">
        <f>55807.05+14011.52+4417.92+3.26</f>
        <v>74239.75</v>
      </c>
      <c r="F107" s="4">
        <f>2401.97+181.56</f>
        <v>2583.5299999999997</v>
      </c>
      <c r="G107" s="18">
        <f t="shared" si="6"/>
        <v>3.4799820850689818</v>
      </c>
      <c r="H107" s="6">
        <f t="shared" si="7"/>
        <v>568396.06</v>
      </c>
      <c r="I107" s="6">
        <f t="shared" si="8"/>
        <v>21721.37</v>
      </c>
      <c r="J107" s="18">
        <f t="shared" si="9"/>
        <v>3.8215201562093863</v>
      </c>
    </row>
    <row r="108" spans="1:10" ht="15">
      <c r="A108" s="2" t="s">
        <v>112</v>
      </c>
      <c r="B108" s="15">
        <f>1164506.17+319.85+89.14-10299.15+1835.54</f>
        <v>1156451.55</v>
      </c>
      <c r="C108" s="15">
        <f>21351.02+361.86</f>
        <v>21712.88</v>
      </c>
      <c r="D108" s="18">
        <f t="shared" si="5"/>
        <v>1.8775434215121247</v>
      </c>
      <c r="E108" s="15">
        <f>242536.62+134155.8+40633.57+425.92+1.14-1011.05</f>
        <v>416742</v>
      </c>
      <c r="F108" s="15">
        <f>2250.2+3.18+37.66+1.04</f>
        <v>2292.0799999999995</v>
      </c>
      <c r="G108" s="18">
        <f t="shared" si="6"/>
        <v>0.549999760043384</v>
      </c>
      <c r="H108" s="6">
        <f t="shared" si="7"/>
        <v>1573193.55</v>
      </c>
      <c r="I108" s="6">
        <f t="shared" si="8"/>
        <v>24004.96</v>
      </c>
      <c r="J108" s="18">
        <f t="shared" si="9"/>
        <v>1.5258745498924782</v>
      </c>
    </row>
    <row r="109" spans="1:10" ht="15">
      <c r="A109" s="2" t="s">
        <v>113</v>
      </c>
      <c r="B109" s="4">
        <f>1005653.9+19.52+273.08+872.3-3730.7</f>
        <v>1003088.1000000001</v>
      </c>
      <c r="C109" s="4">
        <f>15187.98</f>
        <v>15187.98</v>
      </c>
      <c r="D109" s="18">
        <f t="shared" si="5"/>
        <v>1.5141222391133937</v>
      </c>
      <c r="E109" s="4">
        <f>136327.17+107489.63+4283.53+4872.56+233.44+3481.09+134.4+1.88-1262.17-2434.59-44.11-6.08</f>
        <v>253076.75000000003</v>
      </c>
      <c r="F109" s="4">
        <f>458.07+1046.5+28.31+105.27</f>
        <v>1638.1499999999999</v>
      </c>
      <c r="G109" s="18">
        <f t="shared" si="6"/>
        <v>0.6472937557480092</v>
      </c>
      <c r="H109" s="6">
        <f t="shared" si="7"/>
        <v>1256164.85</v>
      </c>
      <c r="I109" s="6">
        <f t="shared" si="8"/>
        <v>16826.13</v>
      </c>
      <c r="J109" s="18">
        <f t="shared" si="9"/>
        <v>1.3394842245426626</v>
      </c>
    </row>
    <row r="110" spans="1:10" ht="15">
      <c r="A110" s="2" t="s">
        <v>114</v>
      </c>
      <c r="B110" s="4">
        <f>4699391.6+662.34+13960.75-8656.97</f>
        <v>4705357.72</v>
      </c>
      <c r="C110" s="4">
        <v>51450.98</v>
      </c>
      <c r="D110" s="18">
        <f t="shared" si="5"/>
        <v>1.0934552283094008</v>
      </c>
      <c r="E110" s="4">
        <f>500944.69+599422.73+117990.69+469.9+15225.77+47621.39+51.5-45594.52-621.3-0.19</f>
        <v>1235510.6599999997</v>
      </c>
      <c r="F110" s="4">
        <f>6102.52+149.21+0.38</f>
        <v>6252.110000000001</v>
      </c>
      <c r="G110" s="18">
        <f t="shared" si="6"/>
        <v>0.506034484558798</v>
      </c>
      <c r="H110" s="6">
        <f t="shared" si="7"/>
        <v>5940868.379999999</v>
      </c>
      <c r="I110" s="6">
        <f t="shared" si="8"/>
        <v>57703.090000000004</v>
      </c>
      <c r="J110" s="18">
        <f t="shared" si="9"/>
        <v>0.9712904967606776</v>
      </c>
    </row>
    <row r="111" spans="1:10" ht="15">
      <c r="A111" s="2" t="s">
        <v>115</v>
      </c>
      <c r="B111" s="15">
        <f>3551903.12+166.04-13246.76+5073.71</f>
        <v>3543896.1100000003</v>
      </c>
      <c r="C111" s="15">
        <v>27889.62</v>
      </c>
      <c r="D111" s="18">
        <f t="shared" si="5"/>
        <v>0.7869762299550028</v>
      </c>
      <c r="E111" s="15">
        <f>784692.28+534269.95+109409.54+3696.58+108.34+3.55+1795.81+0.39+2236.56+2942.07+380.83-67.92-1981.53</f>
        <v>1437486.4500000004</v>
      </c>
      <c r="F111" s="15">
        <f>2669.66+12323.33+135.36+1.01</f>
        <v>15129.36</v>
      </c>
      <c r="G111" s="18">
        <f t="shared" si="6"/>
        <v>1.0524871382265897</v>
      </c>
      <c r="H111" s="6">
        <f t="shared" si="7"/>
        <v>4981382.5600000005</v>
      </c>
      <c r="I111" s="6">
        <f t="shared" si="8"/>
        <v>43018.979999999996</v>
      </c>
      <c r="J111" s="18">
        <f t="shared" si="9"/>
        <v>0.8635951863130944</v>
      </c>
    </row>
    <row r="112" spans="1:10" ht="15">
      <c r="A112" s="2" t="s">
        <v>116</v>
      </c>
      <c r="B112" s="4">
        <f>1326086.32+833.03+65.88+365.96+16.47-1355.18</f>
        <v>1326012.48</v>
      </c>
      <c r="C112" s="4">
        <v>31526.62</v>
      </c>
      <c r="D112" s="18">
        <f t="shared" si="5"/>
        <v>2.3775507753893836</v>
      </c>
      <c r="E112" s="4">
        <f>343731.93+376006.3+75395.88+2504.49+209.01+2840.53+19777.15+797.86-200.07</f>
        <v>821063.0800000001</v>
      </c>
      <c r="F112" s="4">
        <f>2767.69+113.7</f>
        <v>2881.39</v>
      </c>
      <c r="G112" s="18">
        <f t="shared" si="6"/>
        <v>0.3509340597801572</v>
      </c>
      <c r="H112" s="6">
        <f t="shared" si="7"/>
        <v>2147075.56</v>
      </c>
      <c r="I112" s="6">
        <f t="shared" si="8"/>
        <v>34408.01</v>
      </c>
      <c r="J112" s="18">
        <f t="shared" si="9"/>
        <v>1.6025523573096796</v>
      </c>
    </row>
    <row r="113" spans="1:10" ht="15">
      <c r="A113" s="2" t="s">
        <v>117</v>
      </c>
      <c r="B113" s="4">
        <f>1298609.84+3696.5+3340.12-2328.86</f>
        <v>1303317.6</v>
      </c>
      <c r="C113" s="4">
        <v>8457.06</v>
      </c>
      <c r="D113" s="18">
        <f t="shared" si="5"/>
        <v>0.6488871170004916</v>
      </c>
      <c r="E113" s="4">
        <f>35513.41+367.34+1459.5+117.75+6.37+14.35</f>
        <v>37478.72</v>
      </c>
      <c r="F113" s="4">
        <v>476.83</v>
      </c>
      <c r="G113" s="18">
        <f t="shared" si="6"/>
        <v>1.2722686367090443</v>
      </c>
      <c r="H113" s="6">
        <f t="shared" si="7"/>
        <v>1340796.32</v>
      </c>
      <c r="I113" s="6">
        <f t="shared" si="8"/>
        <v>8933.89</v>
      </c>
      <c r="J113" s="18">
        <f t="shared" si="9"/>
        <v>0.6663122404751229</v>
      </c>
    </row>
    <row r="114" spans="1:10" ht="15">
      <c r="A114" s="2" t="s">
        <v>118</v>
      </c>
      <c r="B114" s="15">
        <f>1221746.4+233.51+341.37-4632.66</f>
        <v>1217688.62</v>
      </c>
      <c r="C114" s="15">
        <v>22319.36</v>
      </c>
      <c r="D114" s="18">
        <f t="shared" si="5"/>
        <v>1.8329283556908005</v>
      </c>
      <c r="E114" s="15">
        <f>383763.29+61563.71+38138.03+1146.61+3.65+702.28+16.83+1684.89+292.8-8.11</f>
        <v>487303.9800000001</v>
      </c>
      <c r="F114" s="15">
        <f>2078.62+446.55+31.22</f>
        <v>2556.39</v>
      </c>
      <c r="G114" s="18">
        <f t="shared" si="6"/>
        <v>0.5245986293811923</v>
      </c>
      <c r="H114" s="6">
        <f t="shared" si="7"/>
        <v>1704992.6</v>
      </c>
      <c r="I114" s="6">
        <f t="shared" si="8"/>
        <v>24875.75</v>
      </c>
      <c r="J114" s="18">
        <f t="shared" si="9"/>
        <v>1.4589946020880091</v>
      </c>
    </row>
    <row r="115" spans="1:10" ht="15">
      <c r="A115" s="23" t="s">
        <v>119</v>
      </c>
      <c r="B115" s="4">
        <f>548568.1+102.82+514.66+144.31-731.37</f>
        <v>548598.52</v>
      </c>
      <c r="C115" s="4">
        <v>16173.71</v>
      </c>
      <c r="D115" s="18">
        <f t="shared" si="5"/>
        <v>2.948186954642167</v>
      </c>
      <c r="E115" s="4">
        <f>89061.88+25833.79+16725.43+1998.12+40.32+350.17</f>
        <v>134009.71000000002</v>
      </c>
      <c r="F115" s="4">
        <f>9754.24+281.09</f>
        <v>10035.33</v>
      </c>
      <c r="G115" s="18">
        <f t="shared" si="6"/>
        <v>7.4885096012818755</v>
      </c>
      <c r="H115" s="6">
        <f t="shared" si="7"/>
        <v>682608.23</v>
      </c>
      <c r="I115" s="6">
        <f t="shared" si="8"/>
        <v>26209.04</v>
      </c>
      <c r="J115" s="18">
        <f t="shared" si="9"/>
        <v>3.8395435109242677</v>
      </c>
    </row>
    <row r="116" spans="1:10" ht="15">
      <c r="A116" s="2" t="s">
        <v>120</v>
      </c>
      <c r="B116" s="4">
        <f>989008.12+183.01-3059.46</f>
        <v>986131.67</v>
      </c>
      <c r="C116" s="4">
        <v>11861.17</v>
      </c>
      <c r="D116" s="18">
        <f t="shared" si="5"/>
        <v>1.2027977967688634</v>
      </c>
      <c r="E116" s="4">
        <f>61355.09+18012.01+12068.52+24413.78+23.46-52.11</f>
        <v>115820.75</v>
      </c>
      <c r="F116" s="4">
        <f>260.4+172.34</f>
        <v>432.74</v>
      </c>
      <c r="G116" s="18">
        <f t="shared" si="6"/>
        <v>0.37362907769117365</v>
      </c>
      <c r="H116" s="6">
        <f t="shared" si="7"/>
        <v>1101952.42</v>
      </c>
      <c r="I116" s="6">
        <f t="shared" si="8"/>
        <v>12293.91</v>
      </c>
      <c r="J116" s="18">
        <f t="shared" si="9"/>
        <v>1.1156479877779115</v>
      </c>
    </row>
    <row r="117" spans="1:10" ht="15">
      <c r="A117" s="23" t="s">
        <v>121</v>
      </c>
      <c r="B117" s="15">
        <v>378444</v>
      </c>
      <c r="C117" s="15">
        <v>13653</v>
      </c>
      <c r="D117" s="18">
        <f t="shared" si="5"/>
        <v>3.607667184576846</v>
      </c>
      <c r="E117" s="15">
        <v>23934</v>
      </c>
      <c r="F117" s="15">
        <v>522</v>
      </c>
      <c r="G117" s="18">
        <f t="shared" si="6"/>
        <v>2.1809977437954373</v>
      </c>
      <c r="H117" s="6">
        <f t="shared" si="7"/>
        <v>402378</v>
      </c>
      <c r="I117" s="6">
        <f t="shared" si="8"/>
        <v>14175</v>
      </c>
      <c r="J117" s="18">
        <f t="shared" si="9"/>
        <v>3.5228069129027926</v>
      </c>
    </row>
    <row r="118" spans="1:10" ht="15">
      <c r="A118" s="2" t="s">
        <v>122</v>
      </c>
      <c r="B118" s="4">
        <f>663261.67+196.5+59.25+19256.03-3918.17</f>
        <v>678855.28</v>
      </c>
      <c r="C118" s="4">
        <f>8430.81+310.02</f>
        <v>8740.83</v>
      </c>
      <c r="D118" s="18">
        <f t="shared" si="5"/>
        <v>1.2875837100361065</v>
      </c>
      <c r="E118" s="4">
        <f>672554.32+143354.84+30978.48+1920.21+56.6-2731.99</f>
        <v>846132.4599999998</v>
      </c>
      <c r="F118" s="4">
        <f>386.32+3.22</f>
        <v>389.54</v>
      </c>
      <c r="G118" s="18">
        <f t="shared" si="6"/>
        <v>0.046037709036715134</v>
      </c>
      <c r="H118" s="6">
        <f t="shared" si="7"/>
        <v>1524987.7399999998</v>
      </c>
      <c r="I118" s="6">
        <f t="shared" si="8"/>
        <v>9130.37</v>
      </c>
      <c r="J118" s="18">
        <f t="shared" si="9"/>
        <v>0.5987176001821498</v>
      </c>
    </row>
    <row r="119" spans="1:10" ht="15">
      <c r="A119" s="2" t="s">
        <v>123</v>
      </c>
      <c r="B119" s="4">
        <f>9529080.34+9410.1+1209.07+6337.66+5628.28-14560.3</f>
        <v>9537105.149999999</v>
      </c>
      <c r="C119" s="4">
        <v>92802.93</v>
      </c>
      <c r="D119" s="18">
        <f t="shared" si="5"/>
        <v>0.9730723163936177</v>
      </c>
      <c r="E119" s="4">
        <f>2214697.16+1467856.46+341601.99+29233.8+13.84+65.97+1679.61+22127.68+947.06+607.07+7.6+2106.46-234617.2-168281.2-21991.88-9.75-0.14</f>
        <v>3656044.53</v>
      </c>
      <c r="F119" s="4">
        <f>14464.09+1759.98</f>
        <v>16224.07</v>
      </c>
      <c r="G119" s="18">
        <f t="shared" si="6"/>
        <v>0.44376018582027504</v>
      </c>
      <c r="H119" s="6">
        <f t="shared" si="7"/>
        <v>13193149.679999998</v>
      </c>
      <c r="I119" s="6">
        <f t="shared" si="8"/>
        <v>109027</v>
      </c>
      <c r="J119" s="18">
        <f t="shared" si="9"/>
        <v>0.8263909880843557</v>
      </c>
    </row>
    <row r="120" spans="1:10" ht="15">
      <c r="A120" s="2" t="s">
        <v>124</v>
      </c>
      <c r="B120" s="15">
        <f>604312.22+193.59-905.73</f>
        <v>603600.08</v>
      </c>
      <c r="C120" s="15">
        <v>5597</v>
      </c>
      <c r="D120" s="18">
        <f t="shared" si="5"/>
        <v>0.9272695921445205</v>
      </c>
      <c r="E120" s="15">
        <f>92185.43+150266.63+29352.15+258.85+1.65+579.6-12.11</f>
        <v>272632.2</v>
      </c>
      <c r="F120" s="15">
        <f>49.22</f>
        <v>49.22</v>
      </c>
      <c r="G120" s="18">
        <f t="shared" si="6"/>
        <v>0.01805362682764545</v>
      </c>
      <c r="H120" s="6">
        <f t="shared" si="7"/>
        <v>876232.28</v>
      </c>
      <c r="I120" s="6">
        <f t="shared" si="8"/>
        <v>5646.22</v>
      </c>
      <c r="J120" s="18">
        <f t="shared" si="9"/>
        <v>0.6443747997962367</v>
      </c>
    </row>
    <row r="121" spans="1:10" ht="15">
      <c r="A121" s="2" t="s">
        <v>125</v>
      </c>
      <c r="B121" s="4">
        <f>854449.69+525.37+755.79-2039.94</f>
        <v>853690.91</v>
      </c>
      <c r="C121" s="15">
        <v>12838.5</v>
      </c>
      <c r="D121" s="18">
        <f t="shared" si="5"/>
        <v>1.503881539514108</v>
      </c>
      <c r="E121" s="4">
        <f>100352.82+52304.76+20093.08+1856.65+72.95-987.8</f>
        <v>173692.46000000005</v>
      </c>
      <c r="F121" s="4">
        <f>1527.22+13.2+8.37</f>
        <v>1548.79</v>
      </c>
      <c r="G121" s="18">
        <f t="shared" si="6"/>
        <v>0.8916852234115399</v>
      </c>
      <c r="H121" s="6">
        <f t="shared" si="7"/>
        <v>1027383.3700000001</v>
      </c>
      <c r="I121" s="6">
        <f t="shared" si="8"/>
        <v>14387.29</v>
      </c>
      <c r="J121" s="18">
        <f t="shared" si="9"/>
        <v>1.4003818263089074</v>
      </c>
    </row>
    <row r="122" spans="1:10" ht="15">
      <c r="A122" s="2" t="s">
        <v>126</v>
      </c>
      <c r="B122" s="4">
        <f>519061.63+2678.9+13976.17+195.93-973.5</f>
        <v>534939.1300000001</v>
      </c>
      <c r="C122" s="4">
        <v>13729.65</v>
      </c>
      <c r="D122" s="18">
        <f t="shared" si="5"/>
        <v>2.566581734261989</v>
      </c>
      <c r="E122" s="4">
        <f>288955.87+73461.24+11745.08+17.48-1145</f>
        <v>373034.67</v>
      </c>
      <c r="F122" s="4">
        <v>38.73</v>
      </c>
      <c r="G122" s="18">
        <f t="shared" si="6"/>
        <v>0.01038241298054146</v>
      </c>
      <c r="H122" s="6">
        <f t="shared" si="7"/>
        <v>907973.8</v>
      </c>
      <c r="I122" s="6">
        <f t="shared" si="8"/>
        <v>13768.38</v>
      </c>
      <c r="J122" s="18">
        <f t="shared" si="9"/>
        <v>1.5163851644177395</v>
      </c>
    </row>
    <row r="123" spans="1:10" ht="15">
      <c r="A123" s="2" t="s">
        <v>127</v>
      </c>
      <c r="B123" s="4">
        <f>1261379.29+10505.48+884.74-11107.64</f>
        <v>1261661.87</v>
      </c>
      <c r="C123" s="4">
        <v>70457.49</v>
      </c>
      <c r="D123" s="18">
        <f t="shared" si="5"/>
        <v>5.584498642255076</v>
      </c>
      <c r="E123" s="4">
        <f>308488.61+88633.31+40760.76+700.57+0.28+1333.91+344.26+12.58-239.17-1.47</f>
        <v>440033.6400000001</v>
      </c>
      <c r="F123" s="4">
        <f>20356.86+94.96+497.46</f>
        <v>20949.28</v>
      </c>
      <c r="G123" s="18">
        <f t="shared" si="6"/>
        <v>4.760836012446683</v>
      </c>
      <c r="H123" s="6">
        <f t="shared" si="7"/>
        <v>1701695.5100000002</v>
      </c>
      <c r="I123" s="6">
        <f t="shared" si="8"/>
        <v>91406.77</v>
      </c>
      <c r="J123" s="18">
        <f t="shared" si="9"/>
        <v>5.371511499140054</v>
      </c>
    </row>
    <row r="124" spans="1:10" ht="15">
      <c r="A124" s="2" t="s">
        <v>128</v>
      </c>
      <c r="B124" s="4">
        <f>190942.33+7280.63-1689.89</f>
        <v>196533.06999999998</v>
      </c>
      <c r="C124" s="4">
        <v>9013.11</v>
      </c>
      <c r="D124" s="18">
        <f t="shared" si="5"/>
        <v>4.5860526169972315</v>
      </c>
      <c r="E124" s="4">
        <f>19911.1+185.35+6058.77+1.59</f>
        <v>26156.809999999998</v>
      </c>
      <c r="F124" s="4">
        <f>363.21+25.93</f>
        <v>389.14</v>
      </c>
      <c r="G124" s="18">
        <f t="shared" si="6"/>
        <v>1.4877196416535503</v>
      </c>
      <c r="H124" s="6">
        <f t="shared" si="7"/>
        <v>222689.87999999998</v>
      </c>
      <c r="I124" s="6">
        <f t="shared" si="8"/>
        <v>9402.25</v>
      </c>
      <c r="J124" s="18">
        <f t="shared" si="9"/>
        <v>4.222127202188084</v>
      </c>
    </row>
    <row r="125" spans="1:10" ht="15">
      <c r="A125" s="2" t="s">
        <v>129</v>
      </c>
      <c r="B125" s="4">
        <f>2600024.07+389.12+291.46-2838.64</f>
        <v>2597866.01</v>
      </c>
      <c r="C125" s="4">
        <f>24190.65</f>
        <v>24190.65</v>
      </c>
      <c r="D125" s="18">
        <f t="shared" si="5"/>
        <v>0.9311738906811442</v>
      </c>
      <c r="E125" s="4">
        <f>291549.97+318953.25+38785.1+62.14+2299.06+65.01</f>
        <v>651714.53</v>
      </c>
      <c r="F125" s="4">
        <f>1616.48+84.98+177.35+1.11</f>
        <v>1879.9199999999998</v>
      </c>
      <c r="G125" s="18">
        <f t="shared" si="6"/>
        <v>0.28845758586969045</v>
      </c>
      <c r="H125" s="6">
        <f t="shared" si="7"/>
        <v>3249580.54</v>
      </c>
      <c r="I125" s="6">
        <f t="shared" si="8"/>
        <v>26070.57</v>
      </c>
      <c r="J125" s="18">
        <f t="shared" si="9"/>
        <v>0.8022749299206475</v>
      </c>
    </row>
    <row r="126" spans="1:10" ht="15.75" thickBot="1">
      <c r="A126" s="3"/>
      <c r="B126" s="5"/>
      <c r="C126" s="5"/>
      <c r="D126" s="19"/>
      <c r="E126" s="5"/>
      <c r="F126" s="5"/>
      <c r="G126" s="19"/>
      <c r="H126" s="7"/>
      <c r="I126" s="7"/>
      <c r="J126" s="3"/>
    </row>
    <row r="127" spans="1:10" ht="15.75" thickTop="1">
      <c r="A127" s="2" t="s">
        <v>130</v>
      </c>
      <c r="B127" s="13">
        <f>SUM(B6:B126)</f>
        <v>296070389.73000014</v>
      </c>
      <c r="C127" s="13">
        <f>SUM(C6:C126)</f>
        <v>4460504.840000001</v>
      </c>
      <c r="D127" s="20">
        <f>C127/B127*100</f>
        <v>1.5065690439586799</v>
      </c>
      <c r="E127" s="13">
        <f>SUM(E6:E125)</f>
        <v>94405501.146</v>
      </c>
      <c r="F127" s="13">
        <f>SUM(F6:F125)</f>
        <v>1766213.8500000003</v>
      </c>
      <c r="G127" s="20">
        <f>F127/E127*100</f>
        <v>1.8708802226138446</v>
      </c>
      <c r="H127" s="13">
        <f>SUM(H6:H125)</f>
        <v>390475890.8759999</v>
      </c>
      <c r="I127" s="13">
        <f>SUM(I6:I125)</f>
        <v>6226718.689999999</v>
      </c>
      <c r="J127" s="20">
        <f>I127/H127*100</f>
        <v>1.5946486929144017</v>
      </c>
    </row>
    <row r="129" spans="1:10" ht="15">
      <c r="A129" s="17">
        <v>41879</v>
      </c>
      <c r="B129" s="25" t="s">
        <v>131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2:J2"/>
    <mergeCell ref="A3:J3"/>
    <mergeCell ref="B129:J129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</dc:title>
  <dc:subject/>
  <dc:creator>%USERNAME%</dc:creator>
  <cp:keywords/>
  <dc:description/>
  <cp:lastModifiedBy>REV3915</cp:lastModifiedBy>
  <cp:lastPrinted>2016-04-27T17:50:23Z</cp:lastPrinted>
  <dcterms:created xsi:type="dcterms:W3CDTF">2015-10-02T13:06:53Z</dcterms:created>
  <dcterms:modified xsi:type="dcterms:W3CDTF">2018-01-24T21:06:46Z</dcterms:modified>
  <cp:category/>
  <cp:version/>
  <cp:contentType/>
  <cp:contentStatus/>
</cp:coreProperties>
</file>